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SEJE OBČINSKEGA SVETA 2018-2022\9. redna seja 25.2.2020\OS\"/>
    </mc:Choice>
  </mc:AlternateContent>
  <bookViews>
    <workbookView xWindow="0" yWindow="0" windowWidth="23040" windowHeight="8820"/>
  </bookViews>
  <sheets>
    <sheet name="List1" sheetId="1" r:id="rId1"/>
    <sheet name="plače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" i="2" l="1"/>
  <c r="C18" i="2"/>
  <c r="J18" i="2" s="1"/>
  <c r="D18" i="2"/>
  <c r="E18" i="2"/>
  <c r="F18" i="2"/>
  <c r="G18" i="2"/>
  <c r="H18" i="2"/>
  <c r="I18" i="2"/>
  <c r="B19" i="2"/>
  <c r="C19" i="2"/>
  <c r="D19" i="2"/>
  <c r="E19" i="2"/>
  <c r="F19" i="2"/>
  <c r="F36" i="2" s="1"/>
  <c r="G19" i="2"/>
  <c r="H19" i="2"/>
  <c r="I19" i="2"/>
  <c r="B33" i="2"/>
  <c r="C33" i="2"/>
  <c r="D33" i="2"/>
  <c r="E33" i="2"/>
  <c r="F33" i="2"/>
  <c r="G33" i="2"/>
  <c r="H33" i="2"/>
  <c r="I33" i="2"/>
  <c r="B34" i="2"/>
  <c r="C34" i="2"/>
  <c r="D34" i="2"/>
  <c r="E34" i="2"/>
  <c r="F34" i="2"/>
  <c r="G34" i="2"/>
  <c r="H34" i="2"/>
  <c r="I34" i="2"/>
  <c r="B36" i="2"/>
  <c r="D36" i="2"/>
  <c r="H36" i="2"/>
  <c r="J33" i="2" l="1"/>
  <c r="G36" i="2"/>
  <c r="C36" i="2"/>
  <c r="I36" i="2"/>
  <c r="E36" i="2"/>
  <c r="AH91" i="1"/>
  <c r="AH90" i="1"/>
  <c r="AH89" i="1"/>
  <c r="AH87" i="1"/>
  <c r="AH45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A87" i="1"/>
  <c r="AA45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U48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E51" i="1"/>
  <c r="F51" i="1"/>
  <c r="G51" i="1"/>
  <c r="H51" i="1"/>
  <c r="I51" i="1"/>
  <c r="L51" i="1"/>
  <c r="O51" i="1"/>
  <c r="Q51" i="1" s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AG46" i="1"/>
  <c r="M46" i="1"/>
  <c r="S51" i="1" l="1"/>
  <c r="X51" i="1"/>
  <c r="W51" i="1"/>
  <c r="R51" i="1"/>
  <c r="Z51" i="1"/>
  <c r="V51" i="1"/>
  <c r="Y51" i="1"/>
  <c r="T51" i="1"/>
  <c r="P51" i="1"/>
  <c r="K19" i="1"/>
  <c r="AB65" i="1"/>
  <c r="AC15" i="1"/>
  <c r="AD15" i="1"/>
  <c r="AD83" i="1" s="1"/>
  <c r="AE15" i="1"/>
  <c r="AE85" i="1" s="1"/>
  <c r="AF15" i="1"/>
  <c r="AF85" i="1" s="1"/>
  <c r="Z58" i="1"/>
  <c r="Z56" i="1"/>
  <c r="Z54" i="1"/>
  <c r="Z52" i="1"/>
  <c r="Z50" i="1"/>
  <c r="Z48" i="1"/>
  <c r="Y58" i="1"/>
  <c r="Y56" i="1"/>
  <c r="Y54" i="1"/>
  <c r="Y52" i="1"/>
  <c r="Y50" i="1"/>
  <c r="Y48" i="1"/>
  <c r="X58" i="1"/>
  <c r="X56" i="1"/>
  <c r="X54" i="1"/>
  <c r="X52" i="1"/>
  <c r="X50" i="1"/>
  <c r="X48" i="1"/>
  <c r="W58" i="1"/>
  <c r="W56" i="1"/>
  <c r="W54" i="1"/>
  <c r="W52" i="1"/>
  <c r="W50" i="1"/>
  <c r="W48" i="1"/>
  <c r="AA48" i="1" s="1"/>
  <c r="V58" i="1"/>
  <c r="V56" i="1"/>
  <c r="V54" i="1"/>
  <c r="AA54" i="1" s="1"/>
  <c r="V52" i="1"/>
  <c r="AA52" i="1" s="1"/>
  <c r="V50" i="1"/>
  <c r="T58" i="1"/>
  <c r="T56" i="1"/>
  <c r="T54" i="1"/>
  <c r="T52" i="1"/>
  <c r="T50" i="1"/>
  <c r="S58" i="1"/>
  <c r="S56" i="1"/>
  <c r="S54" i="1"/>
  <c r="S52" i="1"/>
  <c r="S50" i="1"/>
  <c r="R58" i="1"/>
  <c r="R56" i="1"/>
  <c r="R54" i="1"/>
  <c r="R52" i="1"/>
  <c r="R50" i="1"/>
  <c r="Q58" i="1"/>
  <c r="Q56" i="1"/>
  <c r="Q54" i="1"/>
  <c r="Q52" i="1"/>
  <c r="Q50" i="1"/>
  <c r="P58" i="1"/>
  <c r="P56" i="1"/>
  <c r="P54" i="1"/>
  <c r="U54" i="1" s="1"/>
  <c r="P52" i="1"/>
  <c r="P50" i="1"/>
  <c r="O86" i="1"/>
  <c r="O85" i="1"/>
  <c r="V85" i="1" s="1"/>
  <c r="O84" i="1"/>
  <c r="Y84" i="1" s="1"/>
  <c r="O83" i="1"/>
  <c r="R83" i="1" s="1"/>
  <c r="O82" i="1"/>
  <c r="Z82" i="1" s="1"/>
  <c r="O81" i="1"/>
  <c r="W81" i="1" s="1"/>
  <c r="O80" i="1"/>
  <c r="X80" i="1" s="1"/>
  <c r="O78" i="1"/>
  <c r="Z78" i="1" s="1"/>
  <c r="O76" i="1"/>
  <c r="Z76" i="1" s="1"/>
  <c r="O75" i="1"/>
  <c r="V75" i="1" s="1"/>
  <c r="O74" i="1"/>
  <c r="Z74" i="1" s="1"/>
  <c r="O73" i="1"/>
  <c r="W73" i="1" s="1"/>
  <c r="O72" i="1"/>
  <c r="X72" i="1" s="1"/>
  <c r="O71" i="1"/>
  <c r="O70" i="1"/>
  <c r="Z70" i="1" s="1"/>
  <c r="O69" i="1"/>
  <c r="W69" i="1" s="1"/>
  <c r="O68" i="1"/>
  <c r="Y68" i="1" s="1"/>
  <c r="O67" i="1"/>
  <c r="O66" i="1"/>
  <c r="Y66" i="1" s="1"/>
  <c r="O64" i="1"/>
  <c r="Z64" i="1" s="1"/>
  <c r="O62" i="1"/>
  <c r="Z62" i="1" s="1"/>
  <c r="O60" i="1"/>
  <c r="Y60" i="1" s="1"/>
  <c r="N44" i="1"/>
  <c r="N55" i="1"/>
  <c r="O55" i="1" s="1"/>
  <c r="N53" i="1"/>
  <c r="O53" i="1" s="1"/>
  <c r="N47" i="1"/>
  <c r="N79" i="1"/>
  <c r="O79" i="1" s="1"/>
  <c r="N77" i="1"/>
  <c r="O77" i="1" s="1"/>
  <c r="N65" i="1"/>
  <c r="O65" i="1" s="1"/>
  <c r="W65" i="1" s="1"/>
  <c r="N63" i="1"/>
  <c r="O63" i="1" s="1"/>
  <c r="W63" i="1" s="1"/>
  <c r="N61" i="1"/>
  <c r="O61" i="1" s="1"/>
  <c r="W61" i="1" s="1"/>
  <c r="N59" i="1"/>
  <c r="O59" i="1" s="1"/>
  <c r="N57" i="1"/>
  <c r="O57" i="1" s="1"/>
  <c r="N49" i="1"/>
  <c r="O49" i="1" s="1"/>
  <c r="N42" i="1"/>
  <c r="N41" i="1"/>
  <c r="N38" i="1"/>
  <c r="N37" i="1"/>
  <c r="M44" i="1"/>
  <c r="L44" i="1"/>
  <c r="L41" i="1"/>
  <c r="L40" i="1"/>
  <c r="L39" i="1"/>
  <c r="L37" i="1"/>
  <c r="L36" i="1"/>
  <c r="M43" i="1"/>
  <c r="M42" i="1"/>
  <c r="M41" i="1"/>
  <c r="M40" i="1"/>
  <c r="M39" i="1"/>
  <c r="M38" i="1"/>
  <c r="M37" i="1"/>
  <c r="M36" i="1"/>
  <c r="L43" i="1"/>
  <c r="L42" i="1"/>
  <c r="L38" i="1"/>
  <c r="K86" i="1"/>
  <c r="K85" i="1" s="1"/>
  <c r="L85" i="1"/>
  <c r="I85" i="1"/>
  <c r="H85" i="1"/>
  <c r="G85" i="1"/>
  <c r="F85" i="1"/>
  <c r="E85" i="1"/>
  <c r="K84" i="1"/>
  <c r="K83" i="1" s="1"/>
  <c r="L83" i="1"/>
  <c r="I83" i="1"/>
  <c r="H83" i="1"/>
  <c r="G83" i="1"/>
  <c r="F83" i="1"/>
  <c r="E83" i="1"/>
  <c r="K82" i="1"/>
  <c r="K81" i="1" s="1"/>
  <c r="L81" i="1"/>
  <c r="I81" i="1"/>
  <c r="H81" i="1"/>
  <c r="G81" i="1"/>
  <c r="F81" i="1"/>
  <c r="E81" i="1"/>
  <c r="K80" i="1"/>
  <c r="K79" i="1" s="1"/>
  <c r="L79" i="1"/>
  <c r="I79" i="1"/>
  <c r="H79" i="1"/>
  <c r="G79" i="1"/>
  <c r="F79" i="1"/>
  <c r="E79" i="1"/>
  <c r="K78" i="1"/>
  <c r="K77" i="1" s="1"/>
  <c r="L77" i="1"/>
  <c r="I77" i="1"/>
  <c r="H77" i="1"/>
  <c r="G77" i="1"/>
  <c r="F77" i="1"/>
  <c r="E77" i="1"/>
  <c r="K76" i="1"/>
  <c r="K75" i="1" s="1"/>
  <c r="L75" i="1"/>
  <c r="I75" i="1"/>
  <c r="H75" i="1"/>
  <c r="G75" i="1"/>
  <c r="F75" i="1"/>
  <c r="E75" i="1"/>
  <c r="K74" i="1"/>
  <c r="K73" i="1" s="1"/>
  <c r="L73" i="1"/>
  <c r="I73" i="1"/>
  <c r="H73" i="1"/>
  <c r="G73" i="1"/>
  <c r="F73" i="1"/>
  <c r="E73" i="1"/>
  <c r="K72" i="1"/>
  <c r="K71" i="1" s="1"/>
  <c r="L71" i="1"/>
  <c r="I71" i="1"/>
  <c r="H71" i="1"/>
  <c r="G71" i="1"/>
  <c r="F71" i="1"/>
  <c r="E71" i="1"/>
  <c r="K70" i="1"/>
  <c r="K69" i="1" s="1"/>
  <c r="L69" i="1"/>
  <c r="I69" i="1"/>
  <c r="H69" i="1"/>
  <c r="G69" i="1"/>
  <c r="F69" i="1"/>
  <c r="E69" i="1"/>
  <c r="K68" i="1"/>
  <c r="K67" i="1" s="1"/>
  <c r="L67" i="1"/>
  <c r="I67" i="1"/>
  <c r="H67" i="1"/>
  <c r="G67" i="1"/>
  <c r="F67" i="1"/>
  <c r="E67" i="1"/>
  <c r="K66" i="1"/>
  <c r="K65" i="1" s="1"/>
  <c r="L65" i="1"/>
  <c r="I65" i="1"/>
  <c r="H65" i="1"/>
  <c r="G65" i="1"/>
  <c r="F65" i="1"/>
  <c r="E65" i="1"/>
  <c r="K64" i="1"/>
  <c r="K63" i="1" s="1"/>
  <c r="L63" i="1"/>
  <c r="I63" i="1"/>
  <c r="H63" i="1"/>
  <c r="G63" i="1"/>
  <c r="F63" i="1"/>
  <c r="E63" i="1"/>
  <c r="K62" i="1"/>
  <c r="K61" i="1" s="1"/>
  <c r="L61" i="1"/>
  <c r="I61" i="1"/>
  <c r="H61" i="1"/>
  <c r="G61" i="1"/>
  <c r="F61" i="1"/>
  <c r="E61" i="1"/>
  <c r="K60" i="1"/>
  <c r="K59" i="1" s="1"/>
  <c r="L59" i="1"/>
  <c r="I59" i="1"/>
  <c r="H59" i="1"/>
  <c r="G59" i="1"/>
  <c r="F59" i="1"/>
  <c r="E59" i="1"/>
  <c r="K58" i="1"/>
  <c r="K57" i="1" s="1"/>
  <c r="L57" i="1"/>
  <c r="I57" i="1"/>
  <c r="H57" i="1"/>
  <c r="G57" i="1"/>
  <c r="F57" i="1"/>
  <c r="E57" i="1"/>
  <c r="K56" i="1"/>
  <c r="K55" i="1" s="1"/>
  <c r="L55" i="1"/>
  <c r="I55" i="1"/>
  <c r="H55" i="1"/>
  <c r="G55" i="1"/>
  <c r="F55" i="1"/>
  <c r="E55" i="1"/>
  <c r="K54" i="1"/>
  <c r="K53" i="1" s="1"/>
  <c r="L53" i="1"/>
  <c r="I53" i="1"/>
  <c r="H53" i="1"/>
  <c r="G53" i="1"/>
  <c r="F53" i="1"/>
  <c r="E53" i="1"/>
  <c r="K52" i="1"/>
  <c r="K51" i="1" s="1"/>
  <c r="K50" i="1"/>
  <c r="K49" i="1" s="1"/>
  <c r="L49" i="1"/>
  <c r="I49" i="1"/>
  <c r="H49" i="1"/>
  <c r="G49" i="1"/>
  <c r="F49" i="1"/>
  <c r="E49" i="1"/>
  <c r="K48" i="1"/>
  <c r="K47" i="1" s="1"/>
  <c r="L47" i="1"/>
  <c r="I47" i="1"/>
  <c r="H47" i="1"/>
  <c r="G47" i="1"/>
  <c r="F47" i="1"/>
  <c r="E47" i="1"/>
  <c r="K35" i="1"/>
  <c r="I19" i="1"/>
  <c r="H19" i="1"/>
  <c r="G19" i="1"/>
  <c r="F19" i="1"/>
  <c r="E19" i="1"/>
  <c r="U56" i="1" l="1"/>
  <c r="U52" i="1"/>
  <c r="AA50" i="1"/>
  <c r="AA58" i="1"/>
  <c r="AA51" i="1"/>
  <c r="U50" i="1"/>
  <c r="U58" i="1"/>
  <c r="AA56" i="1"/>
  <c r="U51" i="1"/>
  <c r="AB51" i="1"/>
  <c r="AF51" i="1" s="1"/>
  <c r="L19" i="1"/>
  <c r="L88" i="1" s="1"/>
  <c r="M19" i="1"/>
  <c r="L46" i="1"/>
  <c r="O47" i="1"/>
  <c r="O46" i="1" s="1"/>
  <c r="N46" i="1"/>
  <c r="AC84" i="1"/>
  <c r="AH84" i="1" s="1"/>
  <c r="AC38" i="1"/>
  <c r="AC81" i="1"/>
  <c r="N36" i="1"/>
  <c r="N40" i="1"/>
  <c r="O40" i="1" s="1"/>
  <c r="W40" i="1" s="1"/>
  <c r="N43" i="1"/>
  <c r="O43" i="1" s="1"/>
  <c r="N39" i="1"/>
  <c r="AC55" i="1"/>
  <c r="AE59" i="1"/>
  <c r="Q80" i="1"/>
  <c r="AC73" i="1"/>
  <c r="V65" i="1"/>
  <c r="Y72" i="1"/>
  <c r="AE75" i="1"/>
  <c r="AD59" i="1"/>
  <c r="AC63" i="1"/>
  <c r="AF63" i="1"/>
  <c r="AF79" i="1"/>
  <c r="X84" i="1"/>
  <c r="AC47" i="1"/>
  <c r="AC57" i="1"/>
  <c r="AC67" i="1"/>
  <c r="AH67" i="1" s="1"/>
  <c r="AC75" i="1"/>
  <c r="AC83" i="1"/>
  <c r="AD67" i="1"/>
  <c r="AE63" i="1"/>
  <c r="AE79" i="1"/>
  <c r="AF47" i="1"/>
  <c r="AF67" i="1"/>
  <c r="AF83" i="1"/>
  <c r="P84" i="1"/>
  <c r="AC49" i="1"/>
  <c r="AC59" i="1"/>
  <c r="AC69" i="1"/>
  <c r="AC77" i="1"/>
  <c r="AC85" i="1"/>
  <c r="AD75" i="1"/>
  <c r="AE47" i="1"/>
  <c r="AE67" i="1"/>
  <c r="AE83" i="1"/>
  <c r="AF55" i="1"/>
  <c r="AF71" i="1"/>
  <c r="Z60" i="1"/>
  <c r="AC53" i="1"/>
  <c r="AC61" i="1"/>
  <c r="AC71" i="1"/>
  <c r="AH71" i="1" s="1"/>
  <c r="AC79" i="1"/>
  <c r="AE55" i="1"/>
  <c r="AE71" i="1"/>
  <c r="AF59" i="1"/>
  <c r="AF75" i="1"/>
  <c r="P76" i="1"/>
  <c r="Q72" i="1"/>
  <c r="V70" i="1"/>
  <c r="W70" i="1"/>
  <c r="X76" i="1"/>
  <c r="Y64" i="1"/>
  <c r="W74" i="1"/>
  <c r="P60" i="1"/>
  <c r="V62" i="1"/>
  <c r="V78" i="1"/>
  <c r="W62" i="1"/>
  <c r="W80" i="1"/>
  <c r="X60" i="1"/>
  <c r="Y80" i="1"/>
  <c r="Z68" i="1"/>
  <c r="V74" i="1"/>
  <c r="P68" i="1"/>
  <c r="Q64" i="1"/>
  <c r="V66" i="1"/>
  <c r="V82" i="1"/>
  <c r="W66" i="1"/>
  <c r="W85" i="1"/>
  <c r="AA85" i="1" s="1"/>
  <c r="X68" i="1"/>
  <c r="Z84" i="1"/>
  <c r="AF65" i="1"/>
  <c r="O41" i="1"/>
  <c r="O37" i="1"/>
  <c r="Z53" i="1"/>
  <c r="Y53" i="1"/>
  <c r="X53" i="1"/>
  <c r="S53" i="1"/>
  <c r="P53" i="1"/>
  <c r="Q53" i="1"/>
  <c r="T53" i="1"/>
  <c r="W53" i="1"/>
  <c r="V53" i="1"/>
  <c r="R53" i="1"/>
  <c r="Z49" i="1"/>
  <c r="Y49" i="1"/>
  <c r="X49" i="1"/>
  <c r="S49" i="1"/>
  <c r="P49" i="1"/>
  <c r="R49" i="1"/>
  <c r="Q49" i="1"/>
  <c r="W49" i="1"/>
  <c r="V49" i="1"/>
  <c r="T49" i="1"/>
  <c r="Z47" i="1"/>
  <c r="X47" i="1"/>
  <c r="W47" i="1"/>
  <c r="R47" i="1"/>
  <c r="Z57" i="1"/>
  <c r="Y57" i="1"/>
  <c r="X57" i="1"/>
  <c r="S57" i="1"/>
  <c r="P57" i="1"/>
  <c r="Q57" i="1"/>
  <c r="R57" i="1"/>
  <c r="W57" i="1"/>
  <c r="V57" i="1"/>
  <c r="T57" i="1"/>
  <c r="R59" i="1"/>
  <c r="Z59" i="1"/>
  <c r="Y59" i="1"/>
  <c r="X59" i="1"/>
  <c r="T59" i="1"/>
  <c r="W59" i="1"/>
  <c r="V59" i="1"/>
  <c r="Z77" i="1"/>
  <c r="Y77" i="1"/>
  <c r="X77" i="1"/>
  <c r="W77" i="1"/>
  <c r="V77" i="1"/>
  <c r="Z55" i="1"/>
  <c r="Y55" i="1"/>
  <c r="X55" i="1"/>
  <c r="T55" i="1"/>
  <c r="R55" i="1"/>
  <c r="P55" i="1"/>
  <c r="U55" i="1" s="1"/>
  <c r="W55" i="1"/>
  <c r="V55" i="1"/>
  <c r="Q55" i="1"/>
  <c r="S55" i="1"/>
  <c r="T67" i="1"/>
  <c r="Z67" i="1"/>
  <c r="Y67" i="1"/>
  <c r="X67" i="1"/>
  <c r="T79" i="1"/>
  <c r="Z79" i="1"/>
  <c r="Y79" i="1"/>
  <c r="X79" i="1"/>
  <c r="W79" i="1"/>
  <c r="P72" i="1"/>
  <c r="Q60" i="1"/>
  <c r="Q76" i="1"/>
  <c r="T75" i="1"/>
  <c r="V61" i="1"/>
  <c r="V69" i="1"/>
  <c r="V73" i="1"/>
  <c r="V81" i="1"/>
  <c r="W78" i="1"/>
  <c r="W84" i="1"/>
  <c r="X66" i="1"/>
  <c r="X74" i="1"/>
  <c r="X82" i="1"/>
  <c r="Y62" i="1"/>
  <c r="Y70" i="1"/>
  <c r="Y78" i="1"/>
  <c r="Z66" i="1"/>
  <c r="Z80" i="1"/>
  <c r="AD85" i="1"/>
  <c r="AD81" i="1"/>
  <c r="AD77" i="1"/>
  <c r="AD73" i="1"/>
  <c r="AD69" i="1"/>
  <c r="AD61" i="1"/>
  <c r="AD57" i="1"/>
  <c r="AD53" i="1"/>
  <c r="AD49" i="1"/>
  <c r="AD84" i="1"/>
  <c r="AD80" i="1"/>
  <c r="AD76" i="1"/>
  <c r="AD72" i="1"/>
  <c r="AD68" i="1"/>
  <c r="AD64" i="1"/>
  <c r="AD60" i="1"/>
  <c r="AD56" i="1"/>
  <c r="AD52" i="1"/>
  <c r="AD48" i="1"/>
  <c r="AD42" i="1"/>
  <c r="AD38" i="1"/>
  <c r="AD82" i="1"/>
  <c r="AD78" i="1"/>
  <c r="AD74" i="1"/>
  <c r="AD70" i="1"/>
  <c r="AD66" i="1"/>
  <c r="AD62" i="1"/>
  <c r="AD58" i="1"/>
  <c r="AD54" i="1"/>
  <c r="AD50" i="1"/>
  <c r="AD44" i="1"/>
  <c r="AD36" i="1"/>
  <c r="AD55" i="1"/>
  <c r="AD71" i="1"/>
  <c r="S71" i="1"/>
  <c r="Z71" i="1"/>
  <c r="Y71" i="1"/>
  <c r="X71" i="1"/>
  <c r="T83" i="1"/>
  <c r="Z83" i="1"/>
  <c r="Y83" i="1"/>
  <c r="X83" i="1"/>
  <c r="W83" i="1"/>
  <c r="S63" i="1"/>
  <c r="O44" i="1"/>
  <c r="P64" i="1"/>
  <c r="P80" i="1"/>
  <c r="Q68" i="1"/>
  <c r="Q84" i="1"/>
  <c r="S79" i="1"/>
  <c r="V63" i="1"/>
  <c r="V67" i="1"/>
  <c r="V71" i="1"/>
  <c r="V79" i="1"/>
  <c r="V83" i="1"/>
  <c r="W67" i="1"/>
  <c r="W71" i="1"/>
  <c r="W76" i="1"/>
  <c r="X62" i="1"/>
  <c r="X70" i="1"/>
  <c r="X78" i="1"/>
  <c r="Y74" i="1"/>
  <c r="Y82" i="1"/>
  <c r="Z72" i="1"/>
  <c r="AD47" i="1"/>
  <c r="AD63" i="1"/>
  <c r="AD79" i="1"/>
  <c r="T63" i="1"/>
  <c r="Z63" i="1"/>
  <c r="Y63" i="1"/>
  <c r="X63" i="1"/>
  <c r="R75" i="1"/>
  <c r="Z75" i="1"/>
  <c r="Y75" i="1"/>
  <c r="X75" i="1"/>
  <c r="W75" i="1"/>
  <c r="AA75" i="1" s="1"/>
  <c r="O38" i="1"/>
  <c r="R38" i="1" s="1"/>
  <c r="O42" i="1"/>
  <c r="Z42" i="1" s="1"/>
  <c r="Z61" i="1"/>
  <c r="Y61" i="1"/>
  <c r="X61" i="1"/>
  <c r="Z65" i="1"/>
  <c r="Y65" i="1"/>
  <c r="X65" i="1"/>
  <c r="Z69" i="1"/>
  <c r="Y69" i="1"/>
  <c r="X69" i="1"/>
  <c r="Z73" i="1"/>
  <c r="Y73" i="1"/>
  <c r="X73" i="1"/>
  <c r="Z81" i="1"/>
  <c r="Y81" i="1"/>
  <c r="X81" i="1"/>
  <c r="Z85" i="1"/>
  <c r="Y85" i="1"/>
  <c r="X85" i="1"/>
  <c r="R67" i="1"/>
  <c r="V60" i="1"/>
  <c r="V64" i="1"/>
  <c r="V68" i="1"/>
  <c r="V72" i="1"/>
  <c r="AA72" i="1" s="1"/>
  <c r="V76" i="1"/>
  <c r="V80" i="1"/>
  <c r="V84" i="1"/>
  <c r="AA84" i="1" s="1"/>
  <c r="W60" i="1"/>
  <c r="W64" i="1"/>
  <c r="W68" i="1"/>
  <c r="W72" i="1"/>
  <c r="W82" i="1"/>
  <c r="X64" i="1"/>
  <c r="Y76" i="1"/>
  <c r="AC36" i="1"/>
  <c r="AC44" i="1"/>
  <c r="AH44" i="1" s="1"/>
  <c r="AC50" i="1"/>
  <c r="AC54" i="1"/>
  <c r="AC58" i="1"/>
  <c r="AH58" i="1" s="1"/>
  <c r="AC62" i="1"/>
  <c r="AH62" i="1" s="1"/>
  <c r="AC66" i="1"/>
  <c r="AC70" i="1"/>
  <c r="AC74" i="1"/>
  <c r="AH74" i="1" s="1"/>
  <c r="AC78" i="1"/>
  <c r="AH78" i="1" s="1"/>
  <c r="AC82" i="1"/>
  <c r="AE36" i="1"/>
  <c r="AE44" i="1"/>
  <c r="AE50" i="1"/>
  <c r="AE54" i="1"/>
  <c r="AE58" i="1"/>
  <c r="AE62" i="1"/>
  <c r="AE66" i="1"/>
  <c r="AE70" i="1"/>
  <c r="AE74" i="1"/>
  <c r="AE78" i="1"/>
  <c r="AE82" i="1"/>
  <c r="AF36" i="1"/>
  <c r="AF44" i="1"/>
  <c r="AF50" i="1"/>
  <c r="AF54" i="1"/>
  <c r="AF58" i="1"/>
  <c r="AF62" i="1"/>
  <c r="AF66" i="1"/>
  <c r="AF70" i="1"/>
  <c r="AF74" i="1"/>
  <c r="AF78" i="1"/>
  <c r="AF82" i="1"/>
  <c r="AC42" i="1"/>
  <c r="AH42" i="1" s="1"/>
  <c r="AC48" i="1"/>
  <c r="AC52" i="1"/>
  <c r="AC56" i="1"/>
  <c r="AC60" i="1"/>
  <c r="AH60" i="1" s="1"/>
  <c r="AC64" i="1"/>
  <c r="AC68" i="1"/>
  <c r="AC72" i="1"/>
  <c r="AC76" i="1"/>
  <c r="AH76" i="1" s="1"/>
  <c r="AC80" i="1"/>
  <c r="AE38" i="1"/>
  <c r="AE42" i="1"/>
  <c r="AE48" i="1"/>
  <c r="AE52" i="1"/>
  <c r="AE56" i="1"/>
  <c r="AE60" i="1"/>
  <c r="AE64" i="1"/>
  <c r="AE68" i="1"/>
  <c r="AE72" i="1"/>
  <c r="AE76" i="1"/>
  <c r="AE80" i="1"/>
  <c r="AE84" i="1"/>
  <c r="AF38" i="1"/>
  <c r="AF42" i="1"/>
  <c r="AF48" i="1"/>
  <c r="AF52" i="1"/>
  <c r="AF56" i="1"/>
  <c r="AF60" i="1"/>
  <c r="AF64" i="1"/>
  <c r="AF68" i="1"/>
  <c r="AF72" i="1"/>
  <c r="AF76" i="1"/>
  <c r="AF80" i="1"/>
  <c r="AF84" i="1"/>
  <c r="AC65" i="1"/>
  <c r="AD65" i="1"/>
  <c r="AE49" i="1"/>
  <c r="AE53" i="1"/>
  <c r="AE57" i="1"/>
  <c r="AE61" i="1"/>
  <c r="AE65" i="1"/>
  <c r="AE69" i="1"/>
  <c r="AE73" i="1"/>
  <c r="AE77" i="1"/>
  <c r="AE81" i="1"/>
  <c r="AF49" i="1"/>
  <c r="AF53" i="1"/>
  <c r="AF57" i="1"/>
  <c r="AF61" i="1"/>
  <c r="AF69" i="1"/>
  <c r="AF73" i="1"/>
  <c r="AF77" i="1"/>
  <c r="AF81" i="1"/>
  <c r="T62" i="1"/>
  <c r="S62" i="1"/>
  <c r="R62" i="1"/>
  <c r="T74" i="1"/>
  <c r="S74" i="1"/>
  <c r="R74" i="1"/>
  <c r="T86" i="1"/>
  <c r="S86" i="1"/>
  <c r="R86" i="1"/>
  <c r="T61" i="1"/>
  <c r="S61" i="1"/>
  <c r="R61" i="1"/>
  <c r="T65" i="1"/>
  <c r="S65" i="1"/>
  <c r="R65" i="1"/>
  <c r="T69" i="1"/>
  <c r="S69" i="1"/>
  <c r="R69" i="1"/>
  <c r="T73" i="1"/>
  <c r="S73" i="1"/>
  <c r="R73" i="1"/>
  <c r="T77" i="1"/>
  <c r="S77" i="1"/>
  <c r="R77" i="1"/>
  <c r="T81" i="1"/>
  <c r="S81" i="1"/>
  <c r="R81" i="1"/>
  <c r="T85" i="1"/>
  <c r="S85" i="1"/>
  <c r="R85" i="1"/>
  <c r="P59" i="1"/>
  <c r="P63" i="1"/>
  <c r="U63" i="1" s="1"/>
  <c r="P67" i="1"/>
  <c r="P71" i="1"/>
  <c r="P75" i="1"/>
  <c r="P79" i="1"/>
  <c r="U79" i="1" s="1"/>
  <c r="P83" i="1"/>
  <c r="Q59" i="1"/>
  <c r="Q63" i="1"/>
  <c r="Q67" i="1"/>
  <c r="Q71" i="1"/>
  <c r="Q75" i="1"/>
  <c r="Q79" i="1"/>
  <c r="Q83" i="1"/>
  <c r="R63" i="1"/>
  <c r="R79" i="1"/>
  <c r="S59" i="1"/>
  <c r="S75" i="1"/>
  <c r="T71" i="1"/>
  <c r="T66" i="1"/>
  <c r="S66" i="1"/>
  <c r="R66" i="1"/>
  <c r="T78" i="1"/>
  <c r="S78" i="1"/>
  <c r="R78" i="1"/>
  <c r="P61" i="1"/>
  <c r="U61" i="1" s="1"/>
  <c r="P65" i="1"/>
  <c r="P69" i="1"/>
  <c r="P73" i="1"/>
  <c r="P77" i="1"/>
  <c r="U77" i="1" s="1"/>
  <c r="P81" i="1"/>
  <c r="P85" i="1"/>
  <c r="Q61" i="1"/>
  <c r="Q65" i="1"/>
  <c r="Q69" i="1"/>
  <c r="Q73" i="1"/>
  <c r="Q77" i="1"/>
  <c r="Q81" i="1"/>
  <c r="Q85" i="1"/>
  <c r="R71" i="1"/>
  <c r="S67" i="1"/>
  <c r="S83" i="1"/>
  <c r="T70" i="1"/>
  <c r="S70" i="1"/>
  <c r="R70" i="1"/>
  <c r="T82" i="1"/>
  <c r="S82" i="1"/>
  <c r="R82" i="1"/>
  <c r="T60" i="1"/>
  <c r="S60" i="1"/>
  <c r="R60" i="1"/>
  <c r="T64" i="1"/>
  <c r="S64" i="1"/>
  <c r="R64" i="1"/>
  <c r="T68" i="1"/>
  <c r="S68" i="1"/>
  <c r="R68" i="1"/>
  <c r="T72" i="1"/>
  <c r="S72" i="1"/>
  <c r="R72" i="1"/>
  <c r="T76" i="1"/>
  <c r="S76" i="1"/>
  <c r="R76" i="1"/>
  <c r="T80" i="1"/>
  <c r="S80" i="1"/>
  <c r="R80" i="1"/>
  <c r="T84" i="1"/>
  <c r="S84" i="1"/>
  <c r="R84" i="1"/>
  <c r="P62" i="1"/>
  <c r="U62" i="1" s="1"/>
  <c r="P66" i="1"/>
  <c r="P70" i="1"/>
  <c r="P74" i="1"/>
  <c r="P78" i="1"/>
  <c r="U78" i="1" s="1"/>
  <c r="P82" i="1"/>
  <c r="P86" i="1"/>
  <c r="Q62" i="1"/>
  <c r="Q66" i="1"/>
  <c r="Q70" i="1"/>
  <c r="Q74" i="1"/>
  <c r="Q78" i="1"/>
  <c r="Q82" i="1"/>
  <c r="Q86" i="1"/>
  <c r="I17" i="1"/>
  <c r="I88" i="1" s="1"/>
  <c r="H17" i="1"/>
  <c r="H88" i="1" s="1"/>
  <c r="G17" i="1"/>
  <c r="G88" i="1" s="1"/>
  <c r="F17" i="1"/>
  <c r="F88" i="1" s="1"/>
  <c r="E17" i="1"/>
  <c r="E88" i="1" s="1"/>
  <c r="AA71" i="1" l="1"/>
  <c r="AA73" i="1"/>
  <c r="AA66" i="1"/>
  <c r="U75" i="1"/>
  <c r="AH56" i="1"/>
  <c r="AA68" i="1"/>
  <c r="AA67" i="1"/>
  <c r="AA49" i="1"/>
  <c r="U82" i="1"/>
  <c r="U66" i="1"/>
  <c r="U81" i="1"/>
  <c r="U65" i="1"/>
  <c r="U83" i="1"/>
  <c r="U67" i="1"/>
  <c r="AH80" i="1"/>
  <c r="AH64" i="1"/>
  <c r="AH48" i="1"/>
  <c r="AH82" i="1"/>
  <c r="AH66" i="1"/>
  <c r="AH50" i="1"/>
  <c r="AA76" i="1"/>
  <c r="AA60" i="1"/>
  <c r="AA79" i="1"/>
  <c r="U64" i="1"/>
  <c r="AA81" i="1"/>
  <c r="AA59" i="1"/>
  <c r="AA57" i="1"/>
  <c r="U57" i="1"/>
  <c r="AA53" i="1"/>
  <c r="U53" i="1"/>
  <c r="AA82" i="1"/>
  <c r="AA74" i="1"/>
  <c r="U60" i="1"/>
  <c r="AH79" i="1"/>
  <c r="AH77" i="1"/>
  <c r="U84" i="1"/>
  <c r="AH75" i="1"/>
  <c r="AH73" i="1"/>
  <c r="AH81" i="1"/>
  <c r="AA70" i="1"/>
  <c r="AH69" i="1"/>
  <c r="AH38" i="1"/>
  <c r="U74" i="1"/>
  <c r="U73" i="1"/>
  <c r="U59" i="1"/>
  <c r="AH72" i="1"/>
  <c r="AA69" i="1"/>
  <c r="U49" i="1"/>
  <c r="AA78" i="1"/>
  <c r="AH61" i="1"/>
  <c r="AH59" i="1"/>
  <c r="AH57" i="1"/>
  <c r="U86" i="1"/>
  <c r="U70" i="1"/>
  <c r="U85" i="1"/>
  <c r="U69" i="1"/>
  <c r="U71" i="1"/>
  <c r="AH65" i="1"/>
  <c r="AH68" i="1"/>
  <c r="AH52" i="1"/>
  <c r="AH70" i="1"/>
  <c r="AH54" i="1"/>
  <c r="AA80" i="1"/>
  <c r="AA64" i="1"/>
  <c r="AA83" i="1"/>
  <c r="AA63" i="1"/>
  <c r="U80" i="1"/>
  <c r="AA61" i="1"/>
  <c r="U72" i="1"/>
  <c r="AA55" i="1"/>
  <c r="AA77" i="1"/>
  <c r="U68" i="1"/>
  <c r="AA62" i="1"/>
  <c r="U76" i="1"/>
  <c r="AH53" i="1"/>
  <c r="AH85" i="1"/>
  <c r="AH49" i="1"/>
  <c r="AH83" i="1"/>
  <c r="AH47" i="1"/>
  <c r="AH63" i="1"/>
  <c r="AA65" i="1"/>
  <c r="AH55" i="1"/>
  <c r="AH36" i="1"/>
  <c r="AC51" i="1"/>
  <c r="AH51" i="1" s="1"/>
  <c r="AE51" i="1"/>
  <c r="AD51" i="1"/>
  <c r="P47" i="1"/>
  <c r="M88" i="1"/>
  <c r="O36" i="1"/>
  <c r="W36" i="1" s="1"/>
  <c r="N19" i="1"/>
  <c r="O19" i="1" s="1"/>
  <c r="X46" i="1"/>
  <c r="Q47" i="1"/>
  <c r="Q46" i="1" s="1"/>
  <c r="S47" i="1"/>
  <c r="S46" i="1" s="1"/>
  <c r="Y47" i="1"/>
  <c r="Y46" i="1" s="1"/>
  <c r="R46" i="1"/>
  <c r="W46" i="1"/>
  <c r="Z46" i="1"/>
  <c r="T47" i="1"/>
  <c r="T46" i="1" s="1"/>
  <c r="V47" i="1"/>
  <c r="O39" i="1"/>
  <c r="R39" i="1" s="1"/>
  <c r="X43" i="1"/>
  <c r="AB43" i="1"/>
  <c r="X37" i="1"/>
  <c r="AB37" i="1"/>
  <c r="Z40" i="1"/>
  <c r="AB40" i="1"/>
  <c r="X41" i="1"/>
  <c r="AB41" i="1"/>
  <c r="P40" i="1"/>
  <c r="T37" i="1"/>
  <c r="R40" i="1"/>
  <c r="Y40" i="1"/>
  <c r="P37" i="1"/>
  <c r="Q40" i="1"/>
  <c r="S38" i="1"/>
  <c r="Z38" i="1"/>
  <c r="V40" i="1"/>
  <c r="Q41" i="1"/>
  <c r="P43" i="1"/>
  <c r="L17" i="1"/>
  <c r="R41" i="1"/>
  <c r="T42" i="1"/>
  <c r="S41" i="1"/>
  <c r="T40" i="1"/>
  <c r="Y43" i="1"/>
  <c r="P41" i="1"/>
  <c r="T41" i="1"/>
  <c r="S40" i="1"/>
  <c r="X40" i="1"/>
  <c r="V41" i="1"/>
  <c r="Q43" i="1"/>
  <c r="R42" i="1"/>
  <c r="Q37" i="1"/>
  <c r="S43" i="1"/>
  <c r="V42" i="1"/>
  <c r="W43" i="1"/>
  <c r="Z43" i="1"/>
  <c r="R37" i="1"/>
  <c r="R43" i="1"/>
  <c r="T43" i="1"/>
  <c r="V43" i="1"/>
  <c r="AA43" i="1" s="1"/>
  <c r="Z37" i="1"/>
  <c r="Q42" i="1"/>
  <c r="P42" i="1"/>
  <c r="S42" i="1"/>
  <c r="Y42" i="1"/>
  <c r="W41" i="1"/>
  <c r="W42" i="1"/>
  <c r="X42" i="1"/>
  <c r="T38" i="1"/>
  <c r="V38" i="1"/>
  <c r="Y38" i="1"/>
  <c r="Q38" i="1"/>
  <c r="Y37" i="1"/>
  <c r="W37" i="1"/>
  <c r="W38" i="1"/>
  <c r="P38" i="1"/>
  <c r="S37" i="1"/>
  <c r="V37" i="1"/>
  <c r="AA37" i="1" s="1"/>
  <c r="X38" i="1"/>
  <c r="Y41" i="1"/>
  <c r="Z41" i="1"/>
  <c r="AB46" i="1"/>
  <c r="T44" i="1"/>
  <c r="R44" i="1"/>
  <c r="P44" i="1"/>
  <c r="Z44" i="1"/>
  <c r="V44" i="1"/>
  <c r="X44" i="1"/>
  <c r="Y44" i="1"/>
  <c r="Q44" i="1"/>
  <c r="W44" i="1"/>
  <c r="S44" i="1"/>
  <c r="Z86" i="1"/>
  <c r="V86" i="1"/>
  <c r="AA86" i="1" s="1"/>
  <c r="Y86" i="1"/>
  <c r="X86" i="1"/>
  <c r="W86" i="1"/>
  <c r="M17" i="1"/>
  <c r="K17" i="1"/>
  <c r="K88" i="1"/>
  <c r="V46" i="1" l="1"/>
  <c r="AA46" i="1" s="1"/>
  <c r="AA47" i="1"/>
  <c r="U47" i="1"/>
  <c r="P46" i="1"/>
  <c r="U46" i="1" s="1"/>
  <c r="AA38" i="1"/>
  <c r="AA42" i="1"/>
  <c r="AA40" i="1"/>
  <c r="AA44" i="1"/>
  <c r="U44" i="1"/>
  <c r="U42" i="1"/>
  <c r="AA41" i="1"/>
  <c r="U41" i="1"/>
  <c r="U38" i="1"/>
  <c r="U37" i="1"/>
  <c r="U40" i="1"/>
  <c r="U43" i="1"/>
  <c r="N88" i="1"/>
  <c r="O88" i="1" s="1"/>
  <c r="V36" i="1"/>
  <c r="Y36" i="1"/>
  <c r="Q36" i="1"/>
  <c r="R36" i="1"/>
  <c r="R19" i="1" s="1"/>
  <c r="Z36" i="1"/>
  <c r="S36" i="1"/>
  <c r="T36" i="1"/>
  <c r="X36" i="1"/>
  <c r="P36" i="1"/>
  <c r="S39" i="1"/>
  <c r="Y39" i="1"/>
  <c r="X39" i="1"/>
  <c r="Z39" i="1"/>
  <c r="T39" i="1"/>
  <c r="O17" i="1"/>
  <c r="N17" i="1"/>
  <c r="P39" i="1"/>
  <c r="W39" i="1"/>
  <c r="W19" i="1" s="1"/>
  <c r="W17" i="1" s="1"/>
  <c r="V39" i="1"/>
  <c r="AD40" i="1"/>
  <c r="AC40" i="1"/>
  <c r="AE40" i="1"/>
  <c r="AF40" i="1"/>
  <c r="AC43" i="1"/>
  <c r="AF43" i="1"/>
  <c r="AD43" i="1"/>
  <c r="AE43" i="1"/>
  <c r="AE41" i="1"/>
  <c r="AC41" i="1"/>
  <c r="AD41" i="1"/>
  <c r="AF41" i="1"/>
  <c r="AC37" i="1"/>
  <c r="AF37" i="1"/>
  <c r="AE37" i="1"/>
  <c r="AD37" i="1"/>
  <c r="Q39" i="1"/>
  <c r="AB39" i="1"/>
  <c r="AB19" i="1" s="1"/>
  <c r="AB17" i="1" s="1"/>
  <c r="AB86" i="1"/>
  <c r="AF46" i="1"/>
  <c r="AE46" i="1"/>
  <c r="AD46" i="1"/>
  <c r="AC46" i="1"/>
  <c r="AC86" i="1"/>
  <c r="AF86" i="1"/>
  <c r="AE86" i="1"/>
  <c r="AD86" i="1"/>
  <c r="AH86" i="1" l="1"/>
  <c r="AH46" i="1"/>
  <c r="AA39" i="1"/>
  <c r="U39" i="1"/>
  <c r="U36" i="1"/>
  <c r="AH41" i="1"/>
  <c r="AH40" i="1"/>
  <c r="AA36" i="1"/>
  <c r="AH37" i="1"/>
  <c r="AH43" i="1"/>
  <c r="Y19" i="1"/>
  <c r="Y17" i="1" s="1"/>
  <c r="V19" i="1"/>
  <c r="X19" i="1"/>
  <c r="X17" i="1" s="1"/>
  <c r="R88" i="1"/>
  <c r="R17" i="1"/>
  <c r="Q19" i="1"/>
  <c r="Q17" i="1" s="1"/>
  <c r="Z19" i="1"/>
  <c r="Z88" i="1" s="1"/>
  <c r="T19" i="1"/>
  <c r="T88" i="1" s="1"/>
  <c r="P19" i="1"/>
  <c r="S19" i="1"/>
  <c r="AC39" i="1"/>
  <c r="AE39" i="1"/>
  <c r="AD39" i="1"/>
  <c r="AD19" i="1" s="1"/>
  <c r="AD17" i="1" s="1"/>
  <c r="AF39" i="1"/>
  <c r="AF19" i="1" s="1"/>
  <c r="R92" i="1"/>
  <c r="W88" i="1"/>
  <c r="W92" i="1"/>
  <c r="AH39" i="1" l="1"/>
  <c r="Y88" i="1"/>
  <c r="V88" i="1"/>
  <c r="AA19" i="1"/>
  <c r="U19" i="1"/>
  <c r="Y92" i="1"/>
  <c r="Q88" i="1"/>
  <c r="Q92" i="1"/>
  <c r="T92" i="1"/>
  <c r="T93" i="1" s="1"/>
  <c r="T17" i="1"/>
  <c r="Z92" i="1"/>
  <c r="Z93" i="1" s="1"/>
  <c r="Z17" i="1"/>
  <c r="X92" i="1"/>
  <c r="S92" i="1"/>
  <c r="S17" i="1"/>
  <c r="V92" i="1"/>
  <c r="V17" i="1"/>
  <c r="AA17" i="1" s="1"/>
  <c r="X88" i="1"/>
  <c r="R93" i="1"/>
  <c r="P88" i="1"/>
  <c r="P17" i="1"/>
  <c r="AF88" i="1"/>
  <c r="AF92" i="1" s="1"/>
  <c r="AF93" i="1" s="1"/>
  <c r="AF17" i="1"/>
  <c r="P92" i="1"/>
  <c r="AC19" i="1"/>
  <c r="S88" i="1"/>
  <c r="S93" i="1" s="1"/>
  <c r="AD88" i="1"/>
  <c r="AD92" i="1" s="1"/>
  <c r="AD93" i="1" s="1"/>
  <c r="AE19" i="1"/>
  <c r="AB88" i="1"/>
  <c r="W93" i="1"/>
  <c r="Y93" i="1"/>
  <c r="AA88" i="1" l="1"/>
  <c r="U92" i="1"/>
  <c r="V93" i="1"/>
  <c r="AA92" i="1"/>
  <c r="AH19" i="1"/>
  <c r="U88" i="1"/>
  <c r="U17" i="1"/>
  <c r="Q93" i="1"/>
  <c r="P93" i="1"/>
  <c r="X93" i="1"/>
  <c r="AE88" i="1"/>
  <c r="AE92" i="1" s="1"/>
  <c r="AE93" i="1" s="1"/>
  <c r="AE17" i="1"/>
  <c r="AC88" i="1"/>
  <c r="AC17" i="1"/>
  <c r="AH17" i="1" s="1"/>
  <c r="AA93" i="1" l="1"/>
  <c r="AC92" i="1"/>
  <c r="AH88" i="1"/>
  <c r="U93" i="1"/>
  <c r="AC93" i="1" l="1"/>
  <c r="AH93" i="1" s="1"/>
  <c r="AH92" i="1"/>
</calcChain>
</file>

<file path=xl/sharedStrings.xml><?xml version="1.0" encoding="utf-8"?>
<sst xmlns="http://schemas.openxmlformats.org/spreadsheetml/2006/main" count="209" uniqueCount="154">
  <si>
    <t>PP</t>
  </si>
  <si>
    <t>Konto</t>
  </si>
  <si>
    <t>Opis</t>
  </si>
  <si>
    <t>Skrbnik PP</t>
  </si>
  <si>
    <t>Sprejeti proračun: REB/REBALANS 2018-1</t>
  </si>
  <si>
    <t>Veljavni proračun</t>
  </si>
  <si>
    <t>Predobremenitve</t>
  </si>
  <si>
    <t>Računi v kontaciji</t>
  </si>
  <si>
    <t>Prevzete obvez. do 31.12.2018</t>
  </si>
  <si>
    <t>Prosta sredstva</t>
  </si>
  <si>
    <t>TADEJ MORI</t>
  </si>
  <si>
    <t>400000</t>
  </si>
  <si>
    <t>Osnovne plače</t>
  </si>
  <si>
    <t>400001</t>
  </si>
  <si>
    <t>Dodatek za delovno dobo in dodatek za stalnost</t>
  </si>
  <si>
    <t>400004</t>
  </si>
  <si>
    <t>Drugi dodatki</t>
  </si>
  <si>
    <t>400100</t>
  </si>
  <si>
    <t>Regres za letni dopust</t>
  </si>
  <si>
    <t>400202</t>
  </si>
  <si>
    <t>Povračilo stroškov prehrane med delom</t>
  </si>
  <si>
    <t>400203</t>
  </si>
  <si>
    <t>Povračilo stroškov prevoza na delo in iz dela</t>
  </si>
  <si>
    <t>400900</t>
  </si>
  <si>
    <t>Jubilejne nagrade</t>
  </si>
  <si>
    <t>401001</t>
  </si>
  <si>
    <t>Prispevek za pokojninsko in invalidsko zavarovanje</t>
  </si>
  <si>
    <t>401100</t>
  </si>
  <si>
    <t>Prispevek za obvezno zdravstveno zavarovanje</t>
  </si>
  <si>
    <t>401101</t>
  </si>
  <si>
    <t>Prispevek za poškodbe pri delu in poklicne bolezni</t>
  </si>
  <si>
    <t>401200</t>
  </si>
  <si>
    <t>Prispevek za zaposlovanje</t>
  </si>
  <si>
    <t>401300</t>
  </si>
  <si>
    <t>Prispevek za starševsko varstvo</t>
  </si>
  <si>
    <t>402400</t>
  </si>
  <si>
    <t>Dnevnice za službena potovanja v državi</t>
  </si>
  <si>
    <t>402402</t>
  </si>
  <si>
    <t>Stroški prevoza v državi</t>
  </si>
  <si>
    <t>401500</t>
  </si>
  <si>
    <t>Premije kolektivnega dodatnega pokojninskega zavarovanja, na podlagi ZKDPZJU</t>
  </si>
  <si>
    <t>050616</t>
  </si>
  <si>
    <t>Pisarniški material in storitve</t>
  </si>
  <si>
    <t>402000</t>
  </si>
  <si>
    <t>050617</t>
  </si>
  <si>
    <t>Čistilni material in storitve</t>
  </si>
  <si>
    <t>402001</t>
  </si>
  <si>
    <t>050618</t>
  </si>
  <si>
    <t>Storitve varovanja zgradb in prostorov</t>
  </si>
  <si>
    <t>402999</t>
  </si>
  <si>
    <t>Drugi operativni odhodki</t>
  </si>
  <si>
    <t>050619</t>
  </si>
  <si>
    <t>Časopisi, revije in strokovna literatura SOU</t>
  </si>
  <si>
    <t>402004</t>
  </si>
  <si>
    <t>Časopisi, revije, knjige in strokovna literatura</t>
  </si>
  <si>
    <t>050620</t>
  </si>
  <si>
    <t>Računalniške storitve</t>
  </si>
  <si>
    <t>402007</t>
  </si>
  <si>
    <t>050621</t>
  </si>
  <si>
    <t>Uniforma in službena obleka</t>
  </si>
  <si>
    <t>402100</t>
  </si>
  <si>
    <t>Uniforme in službena obleka</t>
  </si>
  <si>
    <t>050622</t>
  </si>
  <si>
    <t>Strokovno izobraževanje SOU</t>
  </si>
  <si>
    <t>402900</t>
  </si>
  <si>
    <t>Stroški konferenc, seminarjev in simpozijev</t>
  </si>
  <si>
    <t>050623</t>
  </si>
  <si>
    <t>Telefon, mobitel, fax SOU</t>
  </si>
  <si>
    <t>402205</t>
  </si>
  <si>
    <t>Telefon, faks, elektronska pošta</t>
  </si>
  <si>
    <t>050624</t>
  </si>
  <si>
    <t>Poštnina in kurirske storitve</t>
  </si>
  <si>
    <t>402206</t>
  </si>
  <si>
    <t>050625</t>
  </si>
  <si>
    <t>Goriva in maziva za prevozna sredstva</t>
  </si>
  <si>
    <t>402300</t>
  </si>
  <si>
    <t>050626</t>
  </si>
  <si>
    <t>Vzdrževanje in popravila vozil</t>
  </si>
  <si>
    <t>402301</t>
  </si>
  <si>
    <t>050627</t>
  </si>
  <si>
    <t>Pristojbine za registracijo vozil</t>
  </si>
  <si>
    <t>402304</t>
  </si>
  <si>
    <t>050628</t>
  </si>
  <si>
    <t>Zavarovalne premije za motorna vozila</t>
  </si>
  <si>
    <t>402305</t>
  </si>
  <si>
    <t>Zavarovalne premije za motorna vozila in kolektivno zavarovanje</t>
  </si>
  <si>
    <t>050629</t>
  </si>
  <si>
    <t>Pisarniška oprema</t>
  </si>
  <si>
    <t>420200</t>
  </si>
  <si>
    <t>Nakup pisarniškega pohištva</t>
  </si>
  <si>
    <t>050630</t>
  </si>
  <si>
    <t>Računalniška oprema</t>
  </si>
  <si>
    <t>420202</t>
  </si>
  <si>
    <t>Nakup strojne računalniške opreme</t>
  </si>
  <si>
    <t>050631</t>
  </si>
  <si>
    <t>Računalniški programi</t>
  </si>
  <si>
    <t>420299</t>
  </si>
  <si>
    <t>Nakup druge opreme in napeljav</t>
  </si>
  <si>
    <t>050632</t>
  </si>
  <si>
    <t>Najemnine za poslovne prostore</t>
  </si>
  <si>
    <t>402600</t>
  </si>
  <si>
    <t>Najemnine in zakupnine za poslovne objekte</t>
  </si>
  <si>
    <t>050633</t>
  </si>
  <si>
    <t>Nakup druge opreme</t>
  </si>
  <si>
    <t>050635</t>
  </si>
  <si>
    <t>050636</t>
  </si>
  <si>
    <t>Zavarovalne premije</t>
  </si>
  <si>
    <t>regres 2018</t>
  </si>
  <si>
    <t>OŠV</t>
  </si>
  <si>
    <t>R-V</t>
  </si>
  <si>
    <t>M-K</t>
  </si>
  <si>
    <t>AJD</t>
  </si>
  <si>
    <t>VIP</t>
  </si>
  <si>
    <t>strošek občine</t>
  </si>
  <si>
    <t>sofinanciranje države</t>
  </si>
  <si>
    <t>SOU-odhodki 2018, odhodki 2019 z oceno do konca leta, simulacija</t>
  </si>
  <si>
    <t>povprečje obeh let</t>
  </si>
  <si>
    <t>za leto 2020 je upoštevana 1/4 manj goriva ter brez zavarovanja in cestne takse za Berlingota</t>
  </si>
  <si>
    <t>za leto 2020 je upoštevan višji delež sofinanciranja zaradi delitve na 4 občine</t>
  </si>
  <si>
    <t>za leto 2020 je upoštevan nov način sofinanciranja s strani države po ZFO-1C (26. Člen)</t>
  </si>
  <si>
    <t>stroški so ocenjeni, včasih se pojavijo enkratne zadeve (nakup računalnikov, nakup prenosnih printerjev,…)</t>
  </si>
  <si>
    <t>za simulacijo plač je vzeto povprečje obeh let (tudi bolovanja in povečan obseg dela)</t>
  </si>
  <si>
    <t>redar</t>
  </si>
  <si>
    <t>inšpektor</t>
  </si>
  <si>
    <t>inšpektor- vodja</t>
  </si>
  <si>
    <t>povprečje plač 2018</t>
  </si>
  <si>
    <t>povprečje plač 2019</t>
  </si>
  <si>
    <t>skupaj</t>
  </si>
  <si>
    <t>regres 2019</t>
  </si>
  <si>
    <t>Skupaj</t>
  </si>
  <si>
    <t>Skupaj plače</t>
  </si>
  <si>
    <t>Skupaj materialni stroški</t>
  </si>
  <si>
    <t xml:space="preserve">050600
050606
050615
</t>
  </si>
  <si>
    <t>Skupaj stroški</t>
  </si>
  <si>
    <t>Plača, regres za letni dopust in malico, stroški prevoza
Jubilejne nagrade in odpravnine SOU
Vodenje računovodstva
Prispevek za dodatno pokojninsko zavarovanje</t>
  </si>
  <si>
    <t>Načrtovani odhodki 2020-s spremembami</t>
  </si>
  <si>
    <t>število prebivalcev</t>
  </si>
  <si>
    <t>delež financiranja glede na število prebivalcev</t>
  </si>
  <si>
    <t>Realizacija 2018</t>
  </si>
  <si>
    <t>Realizacija jan-avg 2019</t>
  </si>
  <si>
    <t>Načrtovana realizacija sept-dec 2019</t>
  </si>
  <si>
    <t>Sofinanciranje odhodkov 2019-(MJU: 50%+20%)</t>
  </si>
  <si>
    <t>Sofinanciranje odhodkov 2020-(MJU: 35%+20%) -po sedanjem ključu delitve stroškov med občinami (5 občin)</t>
  </si>
  <si>
    <t>administrator</t>
  </si>
  <si>
    <t>Skupaj realizacija jan-dec 2019</t>
  </si>
  <si>
    <t>občina</t>
  </si>
  <si>
    <t>1.izračun</t>
  </si>
  <si>
    <t>2. izračun</t>
  </si>
  <si>
    <t>3.izračun</t>
  </si>
  <si>
    <t>1. izračun: sofinanciranje MJU: 50%+20%</t>
  </si>
  <si>
    <t>2. izračun: sofinanciranje MJU: 35%+20%</t>
  </si>
  <si>
    <t>3.izračun: sofinanciranje MJU:35% +20 % po novem ključu (4 občine)</t>
  </si>
  <si>
    <t>Sofinanciranje odhodkov 2020-(MJU: 35%+20%) ter po novem ključu delitve stroškov med občinami (4 občine)</t>
  </si>
  <si>
    <t>za leto 2020 je upoštevano brez inšpektorja in redarja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</si>
</sst>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3" fontId="0" fillId="0" borderId="0" xfId="0" applyNumberFormat="1"/>
    <xf numFmtId="0" fontId="1" fillId="0" borderId="0" xfId="0" applyFont="1"/>
    <xf numFmtId="43" fontId="0" fillId="0" borderId="0" xfId="0" applyNumberFormat="1"/>
    <xf numFmtId="0" fontId="0" fillId="0" borderId="0" xfId="0"/>
    <xf numFmtId="43" fontId="0" fillId="0" borderId="0" xfId="0" applyNumberFormat="1" applyFont="1"/>
    <xf numFmtId="0" fontId="2" fillId="0" borderId="0" xfId="0" applyFont="1"/>
    <xf numFmtId="0" fontId="0" fillId="0" borderId="0" xfId="0" applyFont="1"/>
    <xf numFmtId="49" fontId="3" fillId="3" borderId="1" xfId="0" applyNumberFormat="1" applyFont="1" applyFill="1" applyBorder="1"/>
    <xf numFmtId="0" fontId="3" fillId="3" borderId="1" xfId="0" applyFont="1" applyFill="1" applyBorder="1"/>
    <xf numFmtId="3" fontId="3" fillId="3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17" fontId="0" fillId="0" borderId="1" xfId="0" applyNumberFormat="1" applyBorder="1"/>
    <xf numFmtId="43" fontId="0" fillId="0" borderId="1" xfId="0" applyNumberFormat="1" applyBorder="1"/>
    <xf numFmtId="0" fontId="1" fillId="0" borderId="1" xfId="0" applyFont="1" applyBorder="1"/>
    <xf numFmtId="43" fontId="1" fillId="0" borderId="1" xfId="0" applyNumberFormat="1" applyFont="1" applyBorder="1"/>
    <xf numFmtId="3" fontId="4" fillId="3" borderId="1" xfId="0" applyNumberFormat="1" applyFont="1" applyFill="1" applyBorder="1" applyAlignment="1">
      <alignment horizontal="right"/>
    </xf>
    <xf numFmtId="49" fontId="3" fillId="7" borderId="1" xfId="0" applyNumberFormat="1" applyFont="1" applyFill="1" applyBorder="1"/>
    <xf numFmtId="49" fontId="3" fillId="3" borderId="16" xfId="0" applyNumberFormat="1" applyFont="1" applyFill="1" applyBorder="1"/>
    <xf numFmtId="0" fontId="5" fillId="7" borderId="4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3" fontId="6" fillId="0" borderId="34" xfId="0" applyNumberFormat="1" applyFont="1" applyBorder="1"/>
    <xf numFmtId="0" fontId="6" fillId="0" borderId="22" xfId="0" applyFont="1" applyBorder="1"/>
    <xf numFmtId="0" fontId="6" fillId="0" borderId="4" xfId="0" applyFont="1" applyBorder="1"/>
    <xf numFmtId="0" fontId="6" fillId="0" borderId="35" xfId="0" applyFont="1" applyBorder="1"/>
    <xf numFmtId="0" fontId="6" fillId="7" borderId="22" xfId="0" applyFont="1" applyFill="1" applyBorder="1"/>
    <xf numFmtId="0" fontId="6" fillId="7" borderId="4" xfId="0" applyFont="1" applyFill="1" applyBorder="1"/>
    <xf numFmtId="0" fontId="6" fillId="7" borderId="35" xfId="0" applyFont="1" applyFill="1" applyBorder="1"/>
    <xf numFmtId="0" fontId="6" fillId="0" borderId="0" xfId="0" applyFont="1"/>
    <xf numFmtId="0" fontId="5" fillId="7" borderId="16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3" fontId="5" fillId="0" borderId="29" xfId="0" applyNumberFormat="1" applyFont="1" applyBorder="1"/>
    <xf numFmtId="0" fontId="5" fillId="0" borderId="16" xfId="0" applyFont="1" applyBorder="1"/>
    <xf numFmtId="0" fontId="5" fillId="0" borderId="1" xfId="0" applyFont="1" applyBorder="1"/>
    <xf numFmtId="0" fontId="5" fillId="0" borderId="17" xfId="0" applyFont="1" applyBorder="1"/>
    <xf numFmtId="0" fontId="5" fillId="7" borderId="16" xfId="0" applyFont="1" applyFill="1" applyBorder="1"/>
    <xf numFmtId="0" fontId="5" fillId="7" borderId="1" xfId="0" applyFont="1" applyFill="1" applyBorder="1"/>
    <xf numFmtId="0" fontId="5" fillId="7" borderId="17" xfId="0" applyFont="1" applyFill="1" applyBorder="1"/>
    <xf numFmtId="0" fontId="5" fillId="0" borderId="0" xfId="0" applyFont="1"/>
    <xf numFmtId="0" fontId="6" fillId="7" borderId="16" xfId="0" applyFont="1" applyFill="1" applyBorder="1"/>
    <xf numFmtId="0" fontId="6" fillId="7" borderId="1" xfId="0" applyFont="1" applyFill="1" applyBorder="1"/>
    <xf numFmtId="0" fontId="6" fillId="7" borderId="17" xfId="0" applyFont="1" applyFill="1" applyBorder="1"/>
    <xf numFmtId="43" fontId="6" fillId="7" borderId="16" xfId="0" applyNumberFormat="1" applyFont="1" applyFill="1" applyBorder="1"/>
    <xf numFmtId="43" fontId="6" fillId="7" borderId="1" xfId="0" applyNumberFormat="1" applyFont="1" applyFill="1" applyBorder="1"/>
    <xf numFmtId="0" fontId="5" fillId="7" borderId="3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43" fontId="4" fillId="7" borderId="30" xfId="0" applyNumberFormat="1" applyFont="1" applyFill="1" applyBorder="1" applyAlignment="1">
      <alignment horizontal="right"/>
    </xf>
    <xf numFmtId="43" fontId="4" fillId="7" borderId="20" xfId="0" applyNumberFormat="1" applyFont="1" applyFill="1" applyBorder="1" applyAlignment="1">
      <alignment horizontal="right"/>
    </xf>
    <xf numFmtId="43" fontId="4" fillId="7" borderId="3" xfId="0" applyNumberFormat="1" applyFont="1" applyFill="1" applyBorder="1" applyAlignment="1">
      <alignment horizontal="right"/>
    </xf>
    <xf numFmtId="43" fontId="4" fillId="7" borderId="18" xfId="0" applyNumberFormat="1" applyFont="1" applyFill="1" applyBorder="1" applyAlignment="1">
      <alignment horizontal="right"/>
    </xf>
    <xf numFmtId="0" fontId="5" fillId="7" borderId="20" xfId="0" applyFont="1" applyFill="1" applyBorder="1"/>
    <xf numFmtId="0" fontId="5" fillId="7" borderId="3" xfId="0" applyFont="1" applyFill="1" applyBorder="1"/>
    <xf numFmtId="0" fontId="5" fillId="7" borderId="18" xfId="0" applyFont="1" applyFill="1" applyBorder="1"/>
    <xf numFmtId="0" fontId="5" fillId="7" borderId="0" xfId="0" applyFont="1" applyFill="1"/>
    <xf numFmtId="43" fontId="4" fillId="9" borderId="12" xfId="0" applyNumberFormat="1" applyFont="1" applyFill="1" applyBorder="1" applyAlignment="1">
      <alignment horizontal="right"/>
    </xf>
    <xf numFmtId="3" fontId="4" fillId="3" borderId="43" xfId="0" applyNumberFormat="1" applyFont="1" applyFill="1" applyBorder="1" applyAlignment="1">
      <alignment horizontal="right"/>
    </xf>
    <xf numFmtId="43" fontId="4" fillId="9" borderId="40" xfId="0" applyNumberFormat="1" applyFont="1" applyFill="1" applyBorder="1" applyAlignment="1">
      <alignment horizontal="right"/>
    </xf>
    <xf numFmtId="43" fontId="4" fillId="9" borderId="41" xfId="0" applyNumberFormat="1" applyFont="1" applyFill="1" applyBorder="1" applyAlignment="1">
      <alignment horizontal="right"/>
    </xf>
    <xf numFmtId="43" fontId="4" fillId="9" borderId="42" xfId="0" applyNumberFormat="1" applyFont="1" applyFill="1" applyBorder="1" applyAlignment="1">
      <alignment horizontal="right"/>
    </xf>
    <xf numFmtId="43" fontId="6" fillId="10" borderId="40" xfId="0" applyNumberFormat="1" applyFont="1" applyFill="1" applyBorder="1"/>
    <xf numFmtId="43" fontId="6" fillId="10" borderId="41" xfId="0" applyNumberFormat="1" applyFont="1" applyFill="1" applyBorder="1"/>
    <xf numFmtId="43" fontId="6" fillId="10" borderId="42" xfId="0" applyNumberFormat="1" applyFont="1" applyFill="1" applyBorder="1"/>
    <xf numFmtId="43" fontId="6" fillId="11" borderId="40" xfId="0" applyNumberFormat="1" applyFont="1" applyFill="1" applyBorder="1"/>
    <xf numFmtId="43" fontId="6" fillId="11" borderId="41" xfId="0" applyNumberFormat="1" applyFont="1" applyFill="1" applyBorder="1"/>
    <xf numFmtId="43" fontId="6" fillId="11" borderId="42" xfId="0" applyNumberFormat="1" applyFont="1" applyFill="1" applyBorder="1"/>
    <xf numFmtId="43" fontId="6" fillId="12" borderId="40" xfId="0" applyNumberFormat="1" applyFont="1" applyFill="1" applyBorder="1"/>
    <xf numFmtId="43" fontId="6" fillId="12" borderId="41" xfId="0" applyNumberFormat="1" applyFont="1" applyFill="1" applyBorder="1"/>
    <xf numFmtId="0" fontId="6" fillId="6" borderId="42" xfId="0" applyFont="1" applyFill="1" applyBorder="1"/>
    <xf numFmtId="3" fontId="4" fillId="7" borderId="2" xfId="0" applyNumberFormat="1" applyFont="1" applyFill="1" applyBorder="1" applyAlignment="1">
      <alignment horizontal="right"/>
    </xf>
    <xf numFmtId="3" fontId="4" fillId="7" borderId="7" xfId="0" applyNumberFormat="1" applyFont="1" applyFill="1" applyBorder="1" applyAlignment="1">
      <alignment horizontal="right"/>
    </xf>
    <xf numFmtId="3" fontId="4" fillId="7" borderId="31" xfId="0" applyNumberFormat="1" applyFont="1" applyFill="1" applyBorder="1" applyAlignment="1">
      <alignment horizontal="right"/>
    </xf>
    <xf numFmtId="3" fontId="4" fillId="7" borderId="21" xfId="0" applyNumberFormat="1" applyFont="1" applyFill="1" applyBorder="1" applyAlignment="1">
      <alignment horizontal="right"/>
    </xf>
    <xf numFmtId="3" fontId="4" fillId="7" borderId="19" xfId="0" applyNumberFormat="1" applyFont="1" applyFill="1" applyBorder="1" applyAlignment="1">
      <alignment horizontal="right"/>
    </xf>
    <xf numFmtId="0" fontId="5" fillId="7" borderId="21" xfId="0" applyFont="1" applyFill="1" applyBorder="1"/>
    <xf numFmtId="0" fontId="5" fillId="7" borderId="2" xfId="0" applyFont="1" applyFill="1" applyBorder="1"/>
    <xf numFmtId="0" fontId="5" fillId="7" borderId="19" xfId="0" applyFont="1" applyFill="1" applyBorder="1"/>
    <xf numFmtId="43" fontId="4" fillId="9" borderId="36" xfId="0" applyNumberFormat="1" applyFont="1" applyFill="1" applyBorder="1" applyAlignment="1">
      <alignment horizontal="right"/>
    </xf>
    <xf numFmtId="43" fontId="4" fillId="9" borderId="37" xfId="0" applyNumberFormat="1" applyFont="1" applyFill="1" applyBorder="1" applyAlignment="1">
      <alignment horizontal="right"/>
    </xf>
    <xf numFmtId="43" fontId="4" fillId="9" borderId="38" xfId="0" applyNumberFormat="1" applyFont="1" applyFill="1" applyBorder="1" applyAlignment="1">
      <alignment horizontal="right"/>
    </xf>
    <xf numFmtId="43" fontId="4" fillId="9" borderId="39" xfId="0" applyNumberFormat="1" applyFont="1" applyFill="1" applyBorder="1" applyAlignment="1">
      <alignment horizontal="right"/>
    </xf>
    <xf numFmtId="43" fontId="4" fillId="10" borderId="37" xfId="0" applyNumberFormat="1" applyFont="1" applyFill="1" applyBorder="1" applyAlignment="1">
      <alignment horizontal="right"/>
    </xf>
    <xf numFmtId="43" fontId="4" fillId="10" borderId="38" xfId="0" applyNumberFormat="1" applyFont="1" applyFill="1" applyBorder="1" applyAlignment="1">
      <alignment horizontal="right"/>
    </xf>
    <xf numFmtId="43" fontId="4" fillId="10" borderId="39" xfId="0" applyNumberFormat="1" applyFont="1" applyFill="1" applyBorder="1" applyAlignment="1">
      <alignment horizontal="right"/>
    </xf>
    <xf numFmtId="43" fontId="4" fillId="11" borderId="37" xfId="0" applyNumberFormat="1" applyFont="1" applyFill="1" applyBorder="1" applyAlignment="1">
      <alignment horizontal="right"/>
    </xf>
    <xf numFmtId="43" fontId="4" fillId="11" borderId="38" xfId="0" applyNumberFormat="1" applyFont="1" applyFill="1" applyBorder="1" applyAlignment="1">
      <alignment horizontal="right"/>
    </xf>
    <xf numFmtId="43" fontId="4" fillId="11" borderId="39" xfId="0" applyNumberFormat="1" applyFont="1" applyFill="1" applyBorder="1" applyAlignment="1">
      <alignment horizontal="right"/>
    </xf>
    <xf numFmtId="43" fontId="4" fillId="12" borderId="37" xfId="0" applyNumberFormat="1" applyFont="1" applyFill="1" applyBorder="1" applyAlignment="1">
      <alignment horizontal="right"/>
    </xf>
    <xf numFmtId="43" fontId="4" fillId="12" borderId="38" xfId="0" applyNumberFormat="1" applyFont="1" applyFill="1" applyBorder="1" applyAlignment="1">
      <alignment horizontal="right"/>
    </xf>
    <xf numFmtId="0" fontId="3" fillId="3" borderId="16" xfId="0" applyFont="1" applyFill="1" applyBorder="1"/>
    <xf numFmtId="43" fontId="5" fillId="0" borderId="31" xfId="0" applyNumberFormat="1" applyFont="1" applyBorder="1" applyAlignment="1">
      <alignment horizontal="right"/>
    </xf>
    <xf numFmtId="43" fontId="5" fillId="0" borderId="21" xfId="0" applyNumberFormat="1" applyFont="1" applyBorder="1" applyAlignment="1">
      <alignment horizontal="right"/>
    </xf>
    <xf numFmtId="43" fontId="5" fillId="0" borderId="2" xfId="0" applyNumberFormat="1" applyFont="1" applyBorder="1" applyAlignment="1">
      <alignment horizontal="right"/>
    </xf>
    <xf numFmtId="43" fontId="5" fillId="0" borderId="19" xfId="0" applyNumberFormat="1" applyFont="1" applyBorder="1" applyAlignment="1">
      <alignment horizontal="right"/>
    </xf>
    <xf numFmtId="43" fontId="5" fillId="4" borderId="21" xfId="0" applyNumberFormat="1" applyFont="1" applyFill="1" applyBorder="1" applyAlignment="1">
      <alignment horizontal="right"/>
    </xf>
    <xf numFmtId="43" fontId="5" fillId="4" borderId="2" xfId="0" applyNumberFormat="1" applyFont="1" applyFill="1" applyBorder="1" applyAlignment="1">
      <alignment horizontal="right"/>
    </xf>
    <xf numFmtId="43" fontId="5" fillId="4" borderId="19" xfId="0" applyNumberFormat="1" applyFont="1" applyFill="1" applyBorder="1" applyAlignment="1">
      <alignment horizontal="right"/>
    </xf>
    <xf numFmtId="43" fontId="5" fillId="5" borderId="21" xfId="0" applyNumberFormat="1" applyFont="1" applyFill="1" applyBorder="1" applyAlignment="1">
      <alignment horizontal="right"/>
    </xf>
    <xf numFmtId="43" fontId="5" fillId="5" borderId="2" xfId="0" applyNumberFormat="1" applyFont="1" applyFill="1" applyBorder="1" applyAlignment="1">
      <alignment horizontal="right"/>
    </xf>
    <xf numFmtId="43" fontId="5" fillId="5" borderId="19" xfId="0" applyNumberFormat="1" applyFont="1" applyFill="1" applyBorder="1" applyAlignment="1">
      <alignment horizontal="right"/>
    </xf>
    <xf numFmtId="43" fontId="5" fillId="12" borderId="21" xfId="0" applyNumberFormat="1" applyFont="1" applyFill="1" applyBorder="1" applyAlignment="1">
      <alignment horizontal="right"/>
    </xf>
    <xf numFmtId="43" fontId="5" fillId="12" borderId="2" xfId="0" applyNumberFormat="1" applyFont="1" applyFill="1" applyBorder="1" applyAlignment="1">
      <alignment horizontal="right"/>
    </xf>
    <xf numFmtId="3" fontId="3" fillId="7" borderId="1" xfId="0" applyNumberFormat="1" applyFont="1" applyFill="1" applyBorder="1" applyAlignment="1">
      <alignment horizontal="right"/>
    </xf>
    <xf numFmtId="3" fontId="3" fillId="3" borderId="9" xfId="0" applyNumberFormat="1" applyFont="1" applyFill="1" applyBorder="1" applyAlignment="1">
      <alignment horizontal="right"/>
    </xf>
    <xf numFmtId="0" fontId="5" fillId="0" borderId="29" xfId="0" applyFont="1" applyBorder="1"/>
    <xf numFmtId="43" fontId="5" fillId="4" borderId="16" xfId="0" applyNumberFormat="1" applyFont="1" applyFill="1" applyBorder="1"/>
    <xf numFmtId="43" fontId="5" fillId="4" borderId="1" xfId="0" applyNumberFormat="1" applyFont="1" applyFill="1" applyBorder="1"/>
    <xf numFmtId="43" fontId="5" fillId="4" borderId="17" xfId="0" applyNumberFormat="1" applyFont="1" applyFill="1" applyBorder="1"/>
    <xf numFmtId="43" fontId="5" fillId="5" borderId="16" xfId="0" applyNumberFormat="1" applyFont="1" applyFill="1" applyBorder="1"/>
    <xf numFmtId="43" fontId="5" fillId="5" borderId="1" xfId="0" applyNumberFormat="1" applyFont="1" applyFill="1" applyBorder="1"/>
    <xf numFmtId="43" fontId="5" fillId="5" borderId="17" xfId="0" applyNumberFormat="1" applyFont="1" applyFill="1" applyBorder="1"/>
    <xf numFmtId="43" fontId="5" fillId="6" borderId="16" xfId="0" applyNumberFormat="1" applyFont="1" applyFill="1" applyBorder="1"/>
    <xf numFmtId="43" fontId="5" fillId="6" borderId="1" xfId="0" applyNumberFormat="1" applyFont="1" applyFill="1" applyBorder="1"/>
    <xf numFmtId="43" fontId="5" fillId="6" borderId="17" xfId="0" applyNumberFormat="1" applyFont="1" applyFill="1" applyBorder="1"/>
    <xf numFmtId="43" fontId="5" fillId="8" borderId="29" xfId="0" applyNumberFormat="1" applyFont="1" applyFill="1" applyBorder="1"/>
    <xf numFmtId="43" fontId="5" fillId="8" borderId="16" xfId="0" applyNumberFormat="1" applyFont="1" applyFill="1" applyBorder="1"/>
    <xf numFmtId="43" fontId="5" fillId="8" borderId="1" xfId="0" applyNumberFormat="1" applyFont="1" applyFill="1" applyBorder="1"/>
    <xf numFmtId="43" fontId="5" fillId="8" borderId="17" xfId="0" applyNumberFormat="1" applyFont="1" applyFill="1" applyBorder="1"/>
    <xf numFmtId="43" fontId="5" fillId="8" borderId="32" xfId="0" applyNumberFormat="1" applyFont="1" applyFill="1" applyBorder="1"/>
    <xf numFmtId="43" fontId="5" fillId="8" borderId="23" xfId="0" applyNumberFormat="1" applyFont="1" applyFill="1" applyBorder="1"/>
    <xf numFmtId="43" fontId="5" fillId="8" borderId="24" xfId="0" applyNumberFormat="1" applyFont="1" applyFill="1" applyBorder="1"/>
    <xf numFmtId="43" fontId="5" fillId="8" borderId="25" xfId="0" applyNumberFormat="1" applyFont="1" applyFill="1" applyBorder="1"/>
    <xf numFmtId="43" fontId="5" fillId="4" borderId="23" xfId="0" applyNumberFormat="1" applyFont="1" applyFill="1" applyBorder="1"/>
    <xf numFmtId="43" fontId="5" fillId="4" borderId="24" xfId="0" applyNumberFormat="1" applyFont="1" applyFill="1" applyBorder="1"/>
    <xf numFmtId="43" fontId="5" fillId="4" borderId="25" xfId="0" applyNumberFormat="1" applyFont="1" applyFill="1" applyBorder="1"/>
    <xf numFmtId="43" fontId="5" fillId="5" borderId="23" xfId="0" applyNumberFormat="1" applyFont="1" applyFill="1" applyBorder="1"/>
    <xf numFmtId="43" fontId="5" fillId="5" borderId="24" xfId="0" applyNumberFormat="1" applyFont="1" applyFill="1" applyBorder="1"/>
    <xf numFmtId="43" fontId="5" fillId="5" borderId="25" xfId="0" applyNumberFormat="1" applyFont="1" applyFill="1" applyBorder="1"/>
    <xf numFmtId="43" fontId="5" fillId="6" borderId="23" xfId="0" applyNumberFormat="1" applyFont="1" applyFill="1" applyBorder="1"/>
    <xf numFmtId="43" fontId="5" fillId="6" borderId="24" xfId="0" applyNumberFormat="1" applyFont="1" applyFill="1" applyBorder="1"/>
    <xf numFmtId="43" fontId="5" fillId="6" borderId="25" xfId="0" applyNumberFormat="1" applyFont="1" applyFill="1" applyBorder="1"/>
    <xf numFmtId="3" fontId="3" fillId="7" borderId="9" xfId="0" applyNumberFormat="1" applyFont="1" applyFill="1" applyBorder="1" applyAlignment="1">
      <alignment horizontal="right"/>
    </xf>
    <xf numFmtId="43" fontId="5" fillId="7" borderId="31" xfId="0" applyNumberFormat="1" applyFont="1" applyFill="1" applyBorder="1"/>
    <xf numFmtId="43" fontId="5" fillId="7" borderId="21" xfId="0" applyNumberFormat="1" applyFont="1" applyFill="1" applyBorder="1"/>
    <xf numFmtId="43" fontId="5" fillId="7" borderId="2" xfId="0" applyNumberFormat="1" applyFont="1" applyFill="1" applyBorder="1"/>
    <xf numFmtId="43" fontId="5" fillId="7" borderId="19" xfId="0" applyNumberFormat="1" applyFont="1" applyFill="1" applyBorder="1"/>
    <xf numFmtId="43" fontId="6" fillId="9" borderId="12" xfId="0" applyNumberFormat="1" applyFont="1" applyFill="1" applyBorder="1"/>
    <xf numFmtId="43" fontId="6" fillId="9" borderId="28" xfId="0" applyNumberFormat="1" applyFont="1" applyFill="1" applyBorder="1"/>
    <xf numFmtId="43" fontId="6" fillId="9" borderId="13" xfId="0" applyNumberFormat="1" applyFont="1" applyFill="1" applyBorder="1"/>
    <xf numFmtId="43" fontId="6" fillId="9" borderId="14" xfId="0" applyNumberFormat="1" applyFont="1" applyFill="1" applyBorder="1"/>
    <xf numFmtId="43" fontId="6" fillId="9" borderId="33" xfId="0" applyNumberFormat="1" applyFont="1" applyFill="1" applyBorder="1"/>
    <xf numFmtId="43" fontId="6" fillId="10" borderId="13" xfId="0" applyNumberFormat="1" applyFont="1" applyFill="1" applyBorder="1"/>
    <xf numFmtId="43" fontId="6" fillId="10" borderId="14" xfId="0" applyNumberFormat="1" applyFont="1" applyFill="1" applyBorder="1"/>
    <xf numFmtId="43" fontId="6" fillId="10" borderId="33" xfId="0" applyNumberFormat="1" applyFont="1" applyFill="1" applyBorder="1"/>
    <xf numFmtId="43" fontId="6" fillId="11" borderId="13" xfId="0" applyNumberFormat="1" applyFont="1" applyFill="1" applyBorder="1"/>
    <xf numFmtId="43" fontId="6" fillId="11" borderId="14" xfId="0" applyNumberFormat="1" applyFont="1" applyFill="1" applyBorder="1"/>
    <xf numFmtId="43" fontId="6" fillId="11" borderId="33" xfId="0" applyNumberFormat="1" applyFont="1" applyFill="1" applyBorder="1"/>
    <xf numFmtId="43" fontId="6" fillId="12" borderId="13" xfId="0" applyNumberFormat="1" applyFont="1" applyFill="1" applyBorder="1"/>
    <xf numFmtId="43" fontId="6" fillId="12" borderId="14" xfId="0" applyNumberFormat="1" applyFont="1" applyFill="1" applyBorder="1"/>
    <xf numFmtId="43" fontId="6" fillId="12" borderId="33" xfId="0" applyNumberFormat="1" applyFont="1" applyFill="1" applyBorder="1"/>
    <xf numFmtId="0" fontId="5" fillId="0" borderId="4" xfId="0" applyFont="1" applyBorder="1"/>
    <xf numFmtId="43" fontId="3" fillId="8" borderId="29" xfId="0" applyNumberFormat="1" applyFont="1" applyFill="1" applyBorder="1" applyAlignment="1">
      <alignment horizontal="right"/>
    </xf>
    <xf numFmtId="43" fontId="3" fillId="8" borderId="16" xfId="0" applyNumberFormat="1" applyFont="1" applyFill="1" applyBorder="1" applyAlignment="1">
      <alignment horizontal="right"/>
    </xf>
    <xf numFmtId="43" fontId="3" fillId="8" borderId="1" xfId="0" applyNumberFormat="1" applyFont="1" applyFill="1" applyBorder="1" applyAlignment="1">
      <alignment horizontal="right"/>
    </xf>
    <xf numFmtId="43" fontId="3" fillId="8" borderId="17" xfId="0" applyNumberFormat="1" applyFont="1" applyFill="1" applyBorder="1" applyAlignment="1">
      <alignment horizontal="right"/>
    </xf>
    <xf numFmtId="43" fontId="7" fillId="8" borderId="1" xfId="0" applyNumberFormat="1" applyFont="1" applyFill="1" applyBorder="1" applyAlignment="1">
      <alignment horizontal="right"/>
    </xf>
    <xf numFmtId="43" fontId="7" fillId="8" borderId="17" xfId="0" applyNumberFormat="1" applyFont="1" applyFill="1" applyBorder="1" applyAlignment="1">
      <alignment horizontal="right"/>
    </xf>
    <xf numFmtId="43" fontId="5" fillId="8" borderId="1" xfId="0" applyNumberFormat="1" applyFont="1" applyFill="1" applyBorder="1" applyAlignment="1">
      <alignment horizontal="right"/>
    </xf>
    <xf numFmtId="43" fontId="5" fillId="8" borderId="17" xfId="0" applyNumberFormat="1" applyFont="1" applyFill="1" applyBorder="1" applyAlignment="1">
      <alignment horizontal="right"/>
    </xf>
    <xf numFmtId="43" fontId="3" fillId="8" borderId="32" xfId="0" applyNumberFormat="1" applyFont="1" applyFill="1" applyBorder="1" applyAlignment="1">
      <alignment horizontal="right"/>
    </xf>
    <xf numFmtId="43" fontId="3" fillId="8" borderId="23" xfId="0" applyNumberFormat="1" applyFont="1" applyFill="1" applyBorder="1" applyAlignment="1">
      <alignment horizontal="right"/>
    </xf>
    <xf numFmtId="43" fontId="3" fillId="8" borderId="24" xfId="0" applyNumberFormat="1" applyFont="1" applyFill="1" applyBorder="1" applyAlignment="1">
      <alignment horizontal="right"/>
    </xf>
    <xf numFmtId="43" fontId="3" fillId="8" borderId="25" xfId="0" applyNumberFormat="1" applyFont="1" applyFill="1" applyBorder="1" applyAlignment="1">
      <alignment horizontal="right"/>
    </xf>
    <xf numFmtId="3" fontId="3" fillId="3" borderId="34" xfId="0" applyNumberFormat="1" applyFont="1" applyFill="1" applyBorder="1" applyAlignment="1">
      <alignment horizontal="right"/>
    </xf>
    <xf numFmtId="3" fontId="3" fillId="3" borderId="22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3" fontId="3" fillId="3" borderId="35" xfId="0" applyNumberFormat="1" applyFont="1" applyFill="1" applyBorder="1" applyAlignment="1">
      <alignment horizontal="right"/>
    </xf>
    <xf numFmtId="43" fontId="5" fillId="4" borderId="22" xfId="0" applyNumberFormat="1" applyFont="1" applyFill="1" applyBorder="1"/>
    <xf numFmtId="43" fontId="5" fillId="4" borderId="4" xfId="0" applyNumberFormat="1" applyFont="1" applyFill="1" applyBorder="1"/>
    <xf numFmtId="43" fontId="5" fillId="4" borderId="35" xfId="0" applyNumberFormat="1" applyFont="1" applyFill="1" applyBorder="1"/>
    <xf numFmtId="43" fontId="5" fillId="5" borderId="22" xfId="0" applyNumberFormat="1" applyFont="1" applyFill="1" applyBorder="1"/>
    <xf numFmtId="43" fontId="5" fillId="5" borderId="4" xfId="0" applyNumberFormat="1" applyFont="1" applyFill="1" applyBorder="1"/>
    <xf numFmtId="43" fontId="5" fillId="5" borderId="35" xfId="0" applyNumberFormat="1" applyFont="1" applyFill="1" applyBorder="1"/>
    <xf numFmtId="43" fontId="5" fillId="6" borderId="22" xfId="0" applyNumberFormat="1" applyFont="1" applyFill="1" applyBorder="1"/>
    <xf numFmtId="43" fontId="5" fillId="6" borderId="4" xfId="0" applyNumberFormat="1" applyFont="1" applyFill="1" applyBorder="1"/>
    <xf numFmtId="43" fontId="5" fillId="6" borderId="35" xfId="0" applyNumberFormat="1" applyFont="1" applyFill="1" applyBorder="1"/>
    <xf numFmtId="3" fontId="3" fillId="7" borderId="30" xfId="0" applyNumberFormat="1" applyFont="1" applyFill="1" applyBorder="1" applyAlignment="1">
      <alignment horizontal="right"/>
    </xf>
    <xf numFmtId="3" fontId="3" fillId="7" borderId="20" xfId="0" applyNumberFormat="1" applyFont="1" applyFill="1" applyBorder="1" applyAlignment="1">
      <alignment horizontal="right"/>
    </xf>
    <xf numFmtId="3" fontId="3" fillId="7" borderId="3" xfId="0" applyNumberFormat="1" applyFont="1" applyFill="1" applyBorder="1" applyAlignment="1">
      <alignment horizontal="right"/>
    </xf>
    <xf numFmtId="3" fontId="3" fillId="7" borderId="18" xfId="0" applyNumberFormat="1" applyFont="1" applyFill="1" applyBorder="1" applyAlignment="1">
      <alignment horizontal="right"/>
    </xf>
    <xf numFmtId="43" fontId="5" fillId="7" borderId="20" xfId="0" applyNumberFormat="1" applyFont="1" applyFill="1" applyBorder="1"/>
    <xf numFmtId="43" fontId="5" fillId="7" borderId="3" xfId="0" applyNumberFormat="1" applyFont="1" applyFill="1" applyBorder="1"/>
    <xf numFmtId="43" fontId="5" fillId="7" borderId="18" xfId="0" applyNumberFormat="1" applyFont="1" applyFill="1" applyBorder="1"/>
    <xf numFmtId="3" fontId="4" fillId="3" borderId="24" xfId="0" applyNumberFormat="1" applyFont="1" applyFill="1" applyBorder="1" applyAlignment="1">
      <alignment horizontal="right"/>
    </xf>
    <xf numFmtId="3" fontId="4" fillId="3" borderId="26" xfId="0" applyNumberFormat="1" applyFont="1" applyFill="1" applyBorder="1" applyAlignment="1">
      <alignment horizontal="right"/>
    </xf>
    <xf numFmtId="43" fontId="5" fillId="0" borderId="0" xfId="0" applyNumberFormat="1" applyFont="1"/>
    <xf numFmtId="3" fontId="5" fillId="0" borderId="0" xfId="0" applyNumberFormat="1" applyFont="1"/>
    <xf numFmtId="0" fontId="6" fillId="0" borderId="28" xfId="0" applyFont="1" applyBorder="1"/>
    <xf numFmtId="43" fontId="5" fillId="4" borderId="13" xfId="0" applyNumberFormat="1" applyFont="1" applyFill="1" applyBorder="1"/>
    <xf numFmtId="43" fontId="5" fillId="4" borderId="14" xfId="0" applyNumberFormat="1" applyFont="1" applyFill="1" applyBorder="1"/>
    <xf numFmtId="43" fontId="5" fillId="4" borderId="33" xfId="0" applyNumberFormat="1" applyFont="1" applyFill="1" applyBorder="1"/>
    <xf numFmtId="43" fontId="5" fillId="5" borderId="13" xfId="0" applyNumberFormat="1" applyFont="1" applyFill="1" applyBorder="1"/>
    <xf numFmtId="43" fontId="5" fillId="5" borderId="14" xfId="0" applyNumberFormat="1" applyFont="1" applyFill="1" applyBorder="1"/>
    <xf numFmtId="43" fontId="5" fillId="5" borderId="33" xfId="0" applyNumberFormat="1" applyFont="1" applyFill="1" applyBorder="1"/>
    <xf numFmtId="0" fontId="5" fillId="6" borderId="13" xfId="0" applyFont="1" applyFill="1" applyBorder="1"/>
    <xf numFmtId="43" fontId="5" fillId="6" borderId="14" xfId="0" applyNumberFormat="1" applyFont="1" applyFill="1" applyBorder="1"/>
    <xf numFmtId="0" fontId="5" fillId="6" borderId="33" xfId="0" applyFont="1" applyFill="1" applyBorder="1"/>
    <xf numFmtId="0" fontId="6" fillId="0" borderId="32" xfId="0" applyFont="1" applyBorder="1"/>
    <xf numFmtId="43" fontId="6" fillId="4" borderId="23" xfId="0" applyNumberFormat="1" applyFont="1" applyFill="1" applyBorder="1"/>
    <xf numFmtId="43" fontId="6" fillId="4" borderId="24" xfId="0" applyNumberFormat="1" applyFont="1" applyFill="1" applyBorder="1"/>
    <xf numFmtId="43" fontId="6" fillId="4" borderId="25" xfId="0" applyNumberFormat="1" applyFont="1" applyFill="1" applyBorder="1"/>
    <xf numFmtId="43" fontId="6" fillId="5" borderId="23" xfId="0" applyNumberFormat="1" applyFont="1" applyFill="1" applyBorder="1"/>
    <xf numFmtId="43" fontId="6" fillId="5" borderId="24" xfId="0" applyNumberFormat="1" applyFont="1" applyFill="1" applyBorder="1"/>
    <xf numFmtId="43" fontId="6" fillId="5" borderId="25" xfId="0" applyNumberFormat="1" applyFont="1" applyFill="1" applyBorder="1"/>
    <xf numFmtId="0" fontId="6" fillId="6" borderId="23" xfId="0" applyFont="1" applyFill="1" applyBorder="1"/>
    <xf numFmtId="43" fontId="6" fillId="6" borderId="24" xfId="0" applyNumberFormat="1" applyFont="1" applyFill="1" applyBorder="1"/>
    <xf numFmtId="0" fontId="5" fillId="6" borderId="25" xfId="0" applyFont="1" applyFill="1" applyBorder="1"/>
    <xf numFmtId="0" fontId="6" fillId="7" borderId="8" xfId="0" applyFont="1" applyFill="1" applyBorder="1"/>
    <xf numFmtId="0" fontId="5" fillId="7" borderId="10" xfId="0" applyFont="1" applyFill="1" applyBorder="1"/>
    <xf numFmtId="0" fontId="6" fillId="7" borderId="10" xfId="0" applyFont="1" applyFill="1" applyBorder="1"/>
    <xf numFmtId="0" fontId="5" fillId="7" borderId="6" xfId="0" applyFont="1" applyFill="1" applyBorder="1"/>
    <xf numFmtId="43" fontId="6" fillId="6" borderId="42" xfId="0" applyNumberFormat="1" applyFont="1" applyFill="1" applyBorder="1"/>
    <xf numFmtId="43" fontId="5" fillId="6" borderId="33" xfId="0" applyNumberFormat="1" applyFont="1" applyFill="1" applyBorder="1"/>
    <xf numFmtId="43" fontId="6" fillId="7" borderId="34" xfId="0" applyNumberFormat="1" applyFont="1" applyFill="1" applyBorder="1"/>
    <xf numFmtId="43" fontId="5" fillId="7" borderId="29" xfId="0" applyNumberFormat="1" applyFont="1" applyFill="1" applyBorder="1"/>
    <xf numFmtId="43" fontId="6" fillId="7" borderId="29" xfId="0" applyNumberFormat="1" applyFont="1" applyFill="1" applyBorder="1"/>
    <xf numFmtId="43" fontId="5" fillId="7" borderId="30" xfId="0" applyNumberFormat="1" applyFont="1" applyFill="1" applyBorder="1"/>
    <xf numFmtId="43" fontId="6" fillId="6" borderId="12" xfId="0" applyNumberFormat="1" applyFont="1" applyFill="1" applyBorder="1"/>
    <xf numFmtId="43" fontId="5" fillId="6" borderId="29" xfId="0" applyNumberFormat="1" applyFont="1" applyFill="1" applyBorder="1"/>
    <xf numFmtId="43" fontId="5" fillId="6" borderId="32" xfId="0" applyNumberFormat="1" applyFont="1" applyFill="1" applyBorder="1"/>
    <xf numFmtId="43" fontId="6" fillId="12" borderId="28" xfId="0" applyNumberFormat="1" applyFont="1" applyFill="1" applyBorder="1"/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justify"/>
    </xf>
    <xf numFmtId="0" fontId="1" fillId="2" borderId="41" xfId="0" applyFont="1" applyFill="1" applyBorder="1" applyAlignment="1">
      <alignment horizontal="center" vertical="justify"/>
    </xf>
    <xf numFmtId="0" fontId="1" fillId="4" borderId="45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justify"/>
    </xf>
    <xf numFmtId="44" fontId="1" fillId="2" borderId="40" xfId="0" applyNumberFormat="1" applyFont="1" applyFill="1" applyBorder="1" applyAlignment="1">
      <alignment horizontal="center" vertical="justify"/>
    </xf>
    <xf numFmtId="43" fontId="1" fillId="6" borderId="12" xfId="0" applyNumberFormat="1" applyFont="1" applyFill="1" applyBorder="1" applyAlignment="1">
      <alignment horizontal="center" vertical="justify"/>
    </xf>
    <xf numFmtId="49" fontId="4" fillId="3" borderId="11" xfId="0" applyNumberFormat="1" applyFont="1" applyFill="1" applyBorder="1"/>
    <xf numFmtId="49" fontId="3" fillId="7" borderId="3" xfId="0" applyNumberFormat="1" applyFont="1" applyFill="1" applyBorder="1"/>
    <xf numFmtId="49" fontId="3" fillId="3" borderId="22" xfId="0" applyNumberFormat="1" applyFont="1" applyFill="1" applyBorder="1"/>
    <xf numFmtId="0" fontId="3" fillId="3" borderId="4" xfId="0" applyFont="1" applyFill="1" applyBorder="1"/>
    <xf numFmtId="49" fontId="3" fillId="3" borderId="4" xfId="0" applyNumberFormat="1" applyFont="1" applyFill="1" applyBorder="1"/>
    <xf numFmtId="49" fontId="4" fillId="3" borderId="40" xfId="0" applyNumberFormat="1" applyFont="1" applyFill="1" applyBorder="1"/>
    <xf numFmtId="49" fontId="4" fillId="3" borderId="41" xfId="0" applyNumberFormat="1" applyFont="1" applyFill="1" applyBorder="1"/>
    <xf numFmtId="49" fontId="4" fillId="3" borderId="42" xfId="0" applyNumberFormat="1" applyFont="1" applyFill="1" applyBorder="1"/>
    <xf numFmtId="0" fontId="5" fillId="7" borderId="20" xfId="0" applyFont="1" applyFill="1" applyBorder="1" applyAlignment="1">
      <alignment horizontal="center" vertical="center"/>
    </xf>
    <xf numFmtId="0" fontId="4" fillId="3" borderId="40" xfId="0" applyFont="1" applyFill="1" applyBorder="1"/>
    <xf numFmtId="0" fontId="4" fillId="3" borderId="41" xfId="0" applyFont="1" applyFill="1" applyBorder="1"/>
    <xf numFmtId="0" fontId="4" fillId="7" borderId="21" xfId="0" applyFont="1" applyFill="1" applyBorder="1"/>
    <xf numFmtId="0" fontId="4" fillId="7" borderId="2" xfId="0" applyFont="1" applyFill="1" applyBorder="1"/>
    <xf numFmtId="49" fontId="4" fillId="7" borderId="2" xfId="0" applyNumberFormat="1" applyFont="1" applyFill="1" applyBorder="1"/>
    <xf numFmtId="0" fontId="3" fillId="3" borderId="22" xfId="0" applyFont="1" applyFill="1" applyBorder="1"/>
    <xf numFmtId="0" fontId="6" fillId="0" borderId="44" xfId="0" applyFont="1" applyBorder="1"/>
    <xf numFmtId="49" fontId="4" fillId="3" borderId="42" xfId="0" applyNumberFormat="1" applyFont="1" applyFill="1" applyBorder="1" applyAlignment="1">
      <alignment wrapText="1"/>
    </xf>
    <xf numFmtId="49" fontId="4" fillId="3" borderId="27" xfId="0" applyNumberFormat="1" applyFont="1" applyFill="1" applyBorder="1"/>
    <xf numFmtId="0" fontId="3" fillId="7" borderId="20" xfId="0" applyFont="1" applyFill="1" applyBorder="1"/>
    <xf numFmtId="43" fontId="4" fillId="9" borderId="10" xfId="0" applyNumberFormat="1" applyFont="1" applyFill="1" applyBorder="1" applyAlignment="1">
      <alignment horizontal="right"/>
    </xf>
    <xf numFmtId="43" fontId="3" fillId="3" borderId="10" xfId="0" applyNumberFormat="1" applyFont="1" applyFill="1" applyBorder="1" applyAlignment="1">
      <alignment horizontal="right"/>
    </xf>
    <xf numFmtId="3" fontId="3" fillId="3" borderId="10" xfId="0" applyNumberFormat="1" applyFont="1" applyFill="1" applyBorder="1" applyAlignment="1">
      <alignment horizontal="right"/>
    </xf>
    <xf numFmtId="3" fontId="3" fillId="8" borderId="10" xfId="0" applyNumberFormat="1" applyFont="1" applyFill="1" applyBorder="1" applyAlignment="1">
      <alignment horizontal="right"/>
    </xf>
    <xf numFmtId="49" fontId="4" fillId="7" borderId="3" xfId="0" applyNumberFormat="1" applyFont="1" applyFill="1" applyBorder="1"/>
    <xf numFmtId="3" fontId="4" fillId="7" borderId="3" xfId="0" applyNumberFormat="1" applyFont="1" applyFill="1" applyBorder="1" applyAlignment="1">
      <alignment horizontal="right"/>
    </xf>
    <xf numFmtId="49" fontId="3" fillId="7" borderId="21" xfId="0" applyNumberFormat="1" applyFont="1" applyFill="1" applyBorder="1"/>
    <xf numFmtId="49" fontId="3" fillId="7" borderId="2" xfId="0" applyNumberFormat="1" applyFont="1" applyFill="1" applyBorder="1"/>
    <xf numFmtId="49" fontId="4" fillId="3" borderId="15" xfId="0" applyNumberFormat="1" applyFont="1" applyFill="1" applyBorder="1"/>
    <xf numFmtId="3" fontId="4" fillId="3" borderId="14" xfId="0" applyNumberFormat="1" applyFont="1" applyFill="1" applyBorder="1" applyAlignment="1">
      <alignment horizontal="right"/>
    </xf>
    <xf numFmtId="43" fontId="5" fillId="7" borderId="19" xfId="0" applyNumberFormat="1" applyFont="1" applyFill="1" applyBorder="1" applyAlignment="1">
      <alignment horizontal="right"/>
    </xf>
    <xf numFmtId="3" fontId="3" fillId="7" borderId="17" xfId="0" applyNumberFormat="1" applyFont="1" applyFill="1" applyBorder="1" applyAlignment="1">
      <alignment horizontal="right"/>
    </xf>
    <xf numFmtId="3" fontId="5" fillId="7" borderId="17" xfId="0" applyNumberFormat="1" applyFont="1" applyFill="1" applyBorder="1" applyAlignment="1">
      <alignment horizontal="right"/>
    </xf>
    <xf numFmtId="49" fontId="3" fillId="3" borderId="24" xfId="0" applyNumberFormat="1" applyFont="1" applyFill="1" applyBorder="1"/>
    <xf numFmtId="3" fontId="3" fillId="3" borderId="24" xfId="0" applyNumberFormat="1" applyFont="1" applyFill="1" applyBorder="1" applyAlignment="1">
      <alignment horizontal="right"/>
    </xf>
    <xf numFmtId="3" fontId="3" fillId="7" borderId="25" xfId="0" applyNumberFormat="1" applyFont="1" applyFill="1" applyBorder="1" applyAlignment="1">
      <alignment horizontal="right"/>
    </xf>
    <xf numFmtId="3" fontId="4" fillId="3" borderId="10" xfId="0" applyNumberFormat="1" applyFont="1" applyFill="1" applyBorder="1" applyAlignment="1">
      <alignment horizontal="right"/>
    </xf>
    <xf numFmtId="3" fontId="3" fillId="7" borderId="2" xfId="0" applyNumberFormat="1" applyFont="1" applyFill="1" applyBorder="1" applyAlignment="1">
      <alignment horizontal="right"/>
    </xf>
    <xf numFmtId="0" fontId="5" fillId="0" borderId="35" xfId="0" applyFont="1" applyBorder="1"/>
    <xf numFmtId="49" fontId="3" fillId="3" borderId="23" xfId="0" applyNumberFormat="1" applyFont="1" applyFill="1" applyBorder="1"/>
    <xf numFmtId="0" fontId="3" fillId="3" borderId="24" xfId="0" applyFont="1" applyFill="1" applyBorder="1"/>
    <xf numFmtId="0" fontId="5" fillId="0" borderId="25" xfId="0" applyFont="1" applyBorder="1"/>
    <xf numFmtId="49" fontId="3" fillId="3" borderId="20" xfId="0" applyNumberFormat="1" applyFont="1" applyFill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49" fontId="3" fillId="3" borderId="3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43" fontId="3" fillId="12" borderId="36" xfId="0" applyNumberFormat="1" applyFont="1" applyFill="1" applyBorder="1" applyAlignment="1">
      <alignment horizontal="right"/>
    </xf>
    <xf numFmtId="43" fontId="5" fillId="12" borderId="31" xfId="0" applyNumberFormat="1" applyFont="1" applyFill="1" applyBorder="1" applyAlignment="1">
      <alignment horizontal="right"/>
    </xf>
    <xf numFmtId="0" fontId="1" fillId="4" borderId="44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justify"/>
    </xf>
    <xf numFmtId="0" fontId="1" fillId="5" borderId="45" xfId="0" applyFont="1" applyFill="1" applyBorder="1" applyAlignment="1">
      <alignment horizontal="center" vertical="justify"/>
    </xf>
    <xf numFmtId="0" fontId="1" fillId="5" borderId="46" xfId="0" applyFont="1" applyFill="1" applyBorder="1" applyAlignment="1">
      <alignment horizontal="center" vertical="justify"/>
    </xf>
    <xf numFmtId="0" fontId="1" fillId="6" borderId="43" xfId="0" applyFont="1" applyFill="1" applyBorder="1" applyAlignment="1">
      <alignment horizontal="center" vertical="justify"/>
    </xf>
    <xf numFmtId="0" fontId="1" fillId="6" borderId="45" xfId="0" applyFont="1" applyFill="1" applyBorder="1" applyAlignment="1">
      <alignment horizontal="center" vertical="justify"/>
    </xf>
    <xf numFmtId="0" fontId="1" fillId="6" borderId="46" xfId="0" applyFont="1" applyFill="1" applyBorder="1" applyAlignment="1">
      <alignment horizontal="center" vertical="justify"/>
    </xf>
    <xf numFmtId="43" fontId="3" fillId="12" borderId="39" xfId="0" applyNumberFormat="1" applyFont="1" applyFill="1" applyBorder="1" applyAlignment="1">
      <alignment horizontal="right"/>
    </xf>
    <xf numFmtId="43" fontId="5" fillId="12" borderId="19" xfId="0" applyNumberFormat="1" applyFont="1" applyFill="1" applyBorder="1" applyAlignment="1">
      <alignment horizontal="righ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94"/>
  <sheetViews>
    <sheetView tabSelected="1" zoomScale="70" zoomScaleNormal="70" workbookViewId="0">
      <pane ySplit="13" topLeftCell="A14" activePane="bottomLeft" state="frozen"/>
      <selection pane="bottomLeft" activeCell="M40" sqref="M40"/>
    </sheetView>
  </sheetViews>
  <sheetFormatPr defaultColWidth="8.85546875" defaultRowHeight="15" x14ac:dyDescent="0.25"/>
  <cols>
    <col min="1" max="1" width="5.42578125" style="7" bestFit="1" customWidth="1"/>
    <col min="2" max="2" width="5.85546875" style="7" hidden="1" customWidth="1"/>
    <col min="3" max="3" width="37.5703125" style="7" customWidth="1"/>
    <col min="4" max="4" width="9.28515625" style="7" hidden="1" customWidth="1"/>
    <col min="5" max="5" width="35.28515625" style="7" hidden="1" customWidth="1"/>
    <col min="6" max="6" width="15.28515625" style="7" hidden="1" customWidth="1"/>
    <col min="7" max="7" width="15.140625" style="7" hidden="1" customWidth="1"/>
    <col min="8" max="8" width="15.28515625" style="7" hidden="1" customWidth="1"/>
    <col min="9" max="9" width="26.28515625" style="7" hidden="1" customWidth="1"/>
    <col min="10" max="10" width="22.85546875" style="7" customWidth="1"/>
    <col min="11" max="11" width="6.42578125" style="7" hidden="1" customWidth="1"/>
    <col min="12" max="12" width="17.7109375" style="7" customWidth="1"/>
    <col min="13" max="13" width="18.42578125" style="7" customWidth="1"/>
    <col min="14" max="15" width="20.7109375" style="7" customWidth="1"/>
    <col min="16" max="16" width="12.85546875" style="7" bestFit="1" customWidth="1"/>
    <col min="17" max="17" width="13.28515625" style="7" customWidth="1"/>
    <col min="18" max="19" width="12.7109375" style="7" bestFit="1" customWidth="1"/>
    <col min="20" max="21" width="14.42578125" style="7" customWidth="1"/>
    <col min="22" max="25" width="12.7109375" style="7" bestFit="1" customWidth="1"/>
    <col min="26" max="27" width="15.42578125" style="7" customWidth="1"/>
    <col min="28" max="28" width="22.140625" style="7" customWidth="1"/>
    <col min="29" max="29" width="13.85546875" style="7" customWidth="1"/>
    <col min="30" max="32" width="12.7109375" style="7" bestFit="1" customWidth="1"/>
    <col min="33" max="33" width="16.7109375" style="7" customWidth="1"/>
    <col min="34" max="34" width="15.42578125" style="5" customWidth="1"/>
    <col min="35" max="16384" width="8.85546875" style="7"/>
  </cols>
  <sheetData>
    <row r="2" spans="1:34" ht="15.75" x14ac:dyDescent="0.25">
      <c r="A2" s="6" t="s">
        <v>115</v>
      </c>
    </row>
    <row r="4" spans="1:34" x14ac:dyDescent="0.25">
      <c r="A4" s="7" t="s">
        <v>121</v>
      </c>
    </row>
    <row r="5" spans="1:34" x14ac:dyDescent="0.25">
      <c r="A5" s="7" t="s">
        <v>117</v>
      </c>
    </row>
    <row r="6" spans="1:34" x14ac:dyDescent="0.25">
      <c r="A6" s="7" t="s">
        <v>153</v>
      </c>
    </row>
    <row r="7" spans="1:34" x14ac:dyDescent="0.25">
      <c r="A7" s="7" t="s">
        <v>118</v>
      </c>
      <c r="P7" s="5"/>
    </row>
    <row r="8" spans="1:34" x14ac:dyDescent="0.25">
      <c r="A8" s="7" t="s">
        <v>119</v>
      </c>
    </row>
    <row r="9" spans="1:34" x14ac:dyDescent="0.25">
      <c r="A9" s="7" t="s">
        <v>120</v>
      </c>
    </row>
    <row r="10" spans="1:34" x14ac:dyDescent="0.25">
      <c r="P10" s="7" t="s">
        <v>146</v>
      </c>
      <c r="V10" s="7" t="s">
        <v>147</v>
      </c>
      <c r="AB10" s="7" t="s">
        <v>148</v>
      </c>
    </row>
    <row r="11" spans="1:34" ht="15.75" thickBot="1" x14ac:dyDescent="0.3"/>
    <row r="12" spans="1:34" s="2" customFormat="1" ht="30" customHeight="1" thickBot="1" x14ac:dyDescent="0.3">
      <c r="A12" s="225" t="s">
        <v>0</v>
      </c>
      <c r="B12" s="226" t="s">
        <v>1</v>
      </c>
      <c r="C12" s="226" t="s">
        <v>2</v>
      </c>
      <c r="D12" s="226" t="s">
        <v>3</v>
      </c>
      <c r="E12" s="226" t="s">
        <v>4</v>
      </c>
      <c r="F12" s="226" t="s">
        <v>5</v>
      </c>
      <c r="G12" s="226" t="s">
        <v>6</v>
      </c>
      <c r="H12" s="226" t="s">
        <v>7</v>
      </c>
      <c r="I12" s="226" t="s">
        <v>8</v>
      </c>
      <c r="J12" s="226"/>
      <c r="K12" s="227" t="s">
        <v>9</v>
      </c>
      <c r="L12" s="228" t="s">
        <v>138</v>
      </c>
      <c r="M12" s="229" t="s">
        <v>139</v>
      </c>
      <c r="N12" s="230" t="s">
        <v>140</v>
      </c>
      <c r="O12" s="230" t="s">
        <v>144</v>
      </c>
      <c r="P12" s="284" t="s">
        <v>141</v>
      </c>
      <c r="Q12" s="285"/>
      <c r="R12" s="285"/>
      <c r="S12" s="285"/>
      <c r="T12" s="286"/>
      <c r="U12" s="231" t="s">
        <v>129</v>
      </c>
      <c r="V12" s="287" t="s">
        <v>142</v>
      </c>
      <c r="W12" s="288"/>
      <c r="X12" s="288"/>
      <c r="Y12" s="288"/>
      <c r="Z12" s="289"/>
      <c r="AA12" s="232" t="s">
        <v>129</v>
      </c>
      <c r="AB12" s="233" t="s">
        <v>135</v>
      </c>
      <c r="AC12" s="290" t="s">
        <v>152</v>
      </c>
      <c r="AD12" s="291"/>
      <c r="AE12" s="291"/>
      <c r="AF12" s="291"/>
      <c r="AG12" s="292"/>
      <c r="AH12" s="234" t="s">
        <v>129</v>
      </c>
    </row>
    <row r="13" spans="1:34" s="32" customFormat="1" ht="12" x14ac:dyDescent="0.2">
      <c r="A13" s="22"/>
      <c r="B13" s="23"/>
      <c r="C13" s="20" t="s">
        <v>145</v>
      </c>
      <c r="D13" s="23"/>
      <c r="E13" s="23"/>
      <c r="F13" s="23"/>
      <c r="G13" s="23"/>
      <c r="H13" s="23"/>
      <c r="I13" s="23"/>
      <c r="J13" s="23"/>
      <c r="K13" s="24"/>
      <c r="L13" s="25"/>
      <c r="M13" s="26"/>
      <c r="N13" s="27"/>
      <c r="O13" s="28"/>
      <c r="P13" s="29" t="s">
        <v>108</v>
      </c>
      <c r="Q13" s="30" t="s">
        <v>109</v>
      </c>
      <c r="R13" s="30" t="s">
        <v>110</v>
      </c>
      <c r="S13" s="30" t="s">
        <v>112</v>
      </c>
      <c r="T13" s="31" t="s">
        <v>111</v>
      </c>
      <c r="U13" s="211"/>
      <c r="V13" s="29" t="s">
        <v>108</v>
      </c>
      <c r="W13" s="30" t="s">
        <v>109</v>
      </c>
      <c r="X13" s="30" t="s">
        <v>110</v>
      </c>
      <c r="Y13" s="30" t="s">
        <v>112</v>
      </c>
      <c r="Z13" s="31" t="s">
        <v>111</v>
      </c>
      <c r="AA13" s="211"/>
      <c r="AB13" s="29"/>
      <c r="AC13" s="30" t="s">
        <v>108</v>
      </c>
      <c r="AD13" s="30" t="s">
        <v>109</v>
      </c>
      <c r="AE13" s="30" t="s">
        <v>110</v>
      </c>
      <c r="AF13" s="30" t="s">
        <v>112</v>
      </c>
      <c r="AG13" s="31" t="s">
        <v>111</v>
      </c>
      <c r="AH13" s="217"/>
    </row>
    <row r="14" spans="1:34" s="43" customFormat="1" ht="12" x14ac:dyDescent="0.2">
      <c r="A14" s="33"/>
      <c r="B14" s="34"/>
      <c r="C14" s="21" t="s">
        <v>136</v>
      </c>
      <c r="D14" s="34"/>
      <c r="E14" s="34"/>
      <c r="F14" s="34"/>
      <c r="G14" s="34"/>
      <c r="H14" s="34"/>
      <c r="I14" s="34"/>
      <c r="J14" s="34"/>
      <c r="K14" s="35"/>
      <c r="L14" s="36"/>
      <c r="M14" s="37"/>
      <c r="N14" s="38"/>
      <c r="O14" s="39"/>
      <c r="P14" s="40">
        <v>6259</v>
      </c>
      <c r="Q14" s="41">
        <v>4370</v>
      </c>
      <c r="R14" s="41">
        <v>4939</v>
      </c>
      <c r="S14" s="41">
        <v>5630</v>
      </c>
      <c r="T14" s="42">
        <v>19455</v>
      </c>
      <c r="U14" s="212"/>
      <c r="V14" s="40">
        <v>6259</v>
      </c>
      <c r="W14" s="41">
        <v>4370</v>
      </c>
      <c r="X14" s="41">
        <v>4939</v>
      </c>
      <c r="Y14" s="41">
        <v>5630</v>
      </c>
      <c r="Z14" s="42">
        <v>19455</v>
      </c>
      <c r="AA14" s="212"/>
      <c r="AB14" s="40"/>
      <c r="AC14" s="41">
        <v>6259</v>
      </c>
      <c r="AD14" s="41">
        <v>4370</v>
      </c>
      <c r="AE14" s="41">
        <v>4939</v>
      </c>
      <c r="AF14" s="41">
        <v>5630</v>
      </c>
      <c r="AG14" s="42">
        <v>0</v>
      </c>
      <c r="AH14" s="218"/>
    </row>
    <row r="15" spans="1:34" s="43" customFormat="1" ht="12" x14ac:dyDescent="0.2">
      <c r="A15" s="33"/>
      <c r="B15" s="34"/>
      <c r="C15" s="21" t="s">
        <v>137</v>
      </c>
      <c r="D15" s="34"/>
      <c r="E15" s="34"/>
      <c r="F15" s="34"/>
      <c r="G15" s="34"/>
      <c r="H15" s="34"/>
      <c r="I15" s="34"/>
      <c r="J15" s="34"/>
      <c r="K15" s="35"/>
      <c r="L15" s="36"/>
      <c r="M15" s="37"/>
      <c r="N15" s="38"/>
      <c r="O15" s="39"/>
      <c r="P15" s="44">
        <v>15.4</v>
      </c>
      <c r="Q15" s="45">
        <v>10.75</v>
      </c>
      <c r="R15" s="45">
        <v>12.15</v>
      </c>
      <c r="S15" s="45">
        <v>13.85</v>
      </c>
      <c r="T15" s="46">
        <v>47.85</v>
      </c>
      <c r="U15" s="213"/>
      <c r="V15" s="44">
        <v>15.4</v>
      </c>
      <c r="W15" s="45">
        <v>10.75</v>
      </c>
      <c r="X15" s="45">
        <v>12.15</v>
      </c>
      <c r="Y15" s="45">
        <v>13.85</v>
      </c>
      <c r="Z15" s="46">
        <v>47.85</v>
      </c>
      <c r="AA15" s="213"/>
      <c r="AB15" s="47"/>
      <c r="AC15" s="48">
        <f>+AC14/21198*100</f>
        <v>29.526370412303049</v>
      </c>
      <c r="AD15" s="48">
        <f>+AD14/21198*100</f>
        <v>20.615152372865364</v>
      </c>
      <c r="AE15" s="48">
        <f>+AE14/21198*100</f>
        <v>23.299367864892915</v>
      </c>
      <c r="AF15" s="48">
        <f>+AF14/21198*100</f>
        <v>26.559109349938677</v>
      </c>
      <c r="AG15" s="46"/>
      <c r="AH15" s="219"/>
    </row>
    <row r="16" spans="1:34" s="58" customFormat="1" ht="12.75" thickBot="1" x14ac:dyDescent="0.25">
      <c r="A16" s="243"/>
      <c r="B16" s="49"/>
      <c r="C16" s="49"/>
      <c r="D16" s="34"/>
      <c r="E16" s="34"/>
      <c r="F16" s="34"/>
      <c r="G16" s="34"/>
      <c r="H16" s="34"/>
      <c r="I16" s="34"/>
      <c r="J16" s="49"/>
      <c r="K16" s="50"/>
      <c r="L16" s="51"/>
      <c r="M16" s="52"/>
      <c r="N16" s="53"/>
      <c r="O16" s="54"/>
      <c r="P16" s="55"/>
      <c r="Q16" s="56"/>
      <c r="R16" s="56"/>
      <c r="S16" s="56"/>
      <c r="T16" s="57"/>
      <c r="U16" s="214"/>
      <c r="V16" s="55"/>
      <c r="W16" s="56"/>
      <c r="X16" s="56"/>
      <c r="Y16" s="56"/>
      <c r="Z16" s="57"/>
      <c r="AA16" s="214"/>
      <c r="AB16" s="55"/>
      <c r="AC16" s="56"/>
      <c r="AD16" s="56"/>
      <c r="AE16" s="56"/>
      <c r="AF16" s="56"/>
      <c r="AG16" s="57"/>
      <c r="AH16" s="220"/>
    </row>
    <row r="17" spans="1:34" s="32" customFormat="1" ht="12.75" thickBot="1" x14ac:dyDescent="0.25">
      <c r="A17" s="244"/>
      <c r="B17" s="245"/>
      <c r="C17" s="242"/>
      <c r="D17" s="235"/>
      <c r="E17" s="17" t="e">
        <f>+#REF!</f>
        <v>#REF!</v>
      </c>
      <c r="F17" s="17" t="e">
        <f>+#REF!</f>
        <v>#REF!</v>
      </c>
      <c r="G17" s="17" t="e">
        <f>+#REF!</f>
        <v>#REF!</v>
      </c>
      <c r="H17" s="17" t="e">
        <f>+#REF!</f>
        <v>#REF!</v>
      </c>
      <c r="I17" s="17" t="e">
        <f>+#REF!</f>
        <v>#REF!</v>
      </c>
      <c r="J17" s="59" t="s">
        <v>133</v>
      </c>
      <c r="K17" s="60" t="e">
        <f>+#REF!</f>
        <v>#REF!</v>
      </c>
      <c r="L17" s="59">
        <f>+L19+L47+L49+L51+L53+L55+L57+L59+L61+L63+L65+L67+L69+L71+L73+L75+L77+L79+L81+L83+L85</f>
        <v>273088.51</v>
      </c>
      <c r="M17" s="61">
        <f>+M19+M47+M49+M51+M53+M55+M57+M59+M61+M63+M65+M67+M69+M71+M73+M75+M77+M79+M81+M83+M85</f>
        <v>211632.06</v>
      </c>
      <c r="N17" s="62">
        <f>+N19+N47+N49+N51+N53+N55+N57+N59+N61+N63+N65+N67+N69+N71+N73+N75+N77+N79+N81+N83+N85</f>
        <v>77787.862500000003</v>
      </c>
      <c r="O17" s="63">
        <f>+O19+O47+O49+O51+O53+O55+O57+O59+O61+O63+O65+O67+O69+O71+O73+O75+O77+O79+O81+O83+O85</f>
        <v>289419.92249999993</v>
      </c>
      <c r="P17" s="64">
        <f>+P19+P46</f>
        <v>44570.668065000005</v>
      </c>
      <c r="Q17" s="65">
        <f t="shared" ref="Q17:AF17" si="0">+Q19+Q46</f>
        <v>31112.641668749999</v>
      </c>
      <c r="R17" s="65">
        <f t="shared" si="0"/>
        <v>35164.520583750003</v>
      </c>
      <c r="S17" s="65">
        <f t="shared" si="0"/>
        <v>40084.659266250004</v>
      </c>
      <c r="T17" s="66">
        <f t="shared" si="0"/>
        <v>138487.43291624999</v>
      </c>
      <c r="U17" s="66">
        <f>+P17+Q17+R17+S17+T17</f>
        <v>289419.92249999999</v>
      </c>
      <c r="V17" s="67">
        <f t="shared" si="0"/>
        <v>44570.668065000005</v>
      </c>
      <c r="W17" s="68">
        <f t="shared" si="0"/>
        <v>31112.641668749999</v>
      </c>
      <c r="X17" s="68">
        <f t="shared" si="0"/>
        <v>35164.520583750003</v>
      </c>
      <c r="Y17" s="68">
        <f t="shared" si="0"/>
        <v>40084.659266250004</v>
      </c>
      <c r="Z17" s="69">
        <f t="shared" si="0"/>
        <v>138487.43291624999</v>
      </c>
      <c r="AA17" s="69">
        <f>+V17+W17+X17+Y17+Z17</f>
        <v>289419.92249999999</v>
      </c>
      <c r="AB17" s="70">
        <f t="shared" si="0"/>
        <v>222096.845</v>
      </c>
      <c r="AC17" s="71">
        <f t="shared" si="0"/>
        <v>65577.137128738555</v>
      </c>
      <c r="AD17" s="71">
        <f t="shared" si="0"/>
        <v>45785.603012076601</v>
      </c>
      <c r="AE17" s="71">
        <f t="shared" si="0"/>
        <v>51747.160932871033</v>
      </c>
      <c r="AF17" s="71">
        <f t="shared" si="0"/>
        <v>58986.943926313819</v>
      </c>
      <c r="AG17" s="72"/>
      <c r="AH17" s="221">
        <f>+AC17+AD17+AE17+AF17+AG17</f>
        <v>222096.84500000003</v>
      </c>
    </row>
    <row r="18" spans="1:34" s="58" customFormat="1" ht="12.75" thickBot="1" x14ac:dyDescent="0.25">
      <c r="A18" s="246"/>
      <c r="B18" s="247"/>
      <c r="C18" s="248"/>
      <c r="D18" s="258"/>
      <c r="E18" s="259"/>
      <c r="F18" s="259"/>
      <c r="G18" s="259"/>
      <c r="H18" s="259"/>
      <c r="I18" s="259"/>
      <c r="J18" s="73"/>
      <c r="K18" s="74"/>
      <c r="L18" s="75"/>
      <c r="M18" s="76"/>
      <c r="N18" s="73"/>
      <c r="O18" s="77"/>
      <c r="P18" s="78"/>
      <c r="Q18" s="79"/>
      <c r="R18" s="79"/>
      <c r="S18" s="79"/>
      <c r="T18" s="80"/>
      <c r="U18" s="80"/>
      <c r="V18" s="78"/>
      <c r="W18" s="79"/>
      <c r="X18" s="79"/>
      <c r="Y18" s="79"/>
      <c r="Z18" s="80"/>
      <c r="AA18" s="80"/>
      <c r="AB18" s="78"/>
      <c r="AC18" s="79"/>
      <c r="AD18" s="79"/>
      <c r="AE18" s="79"/>
      <c r="AF18" s="79"/>
      <c r="AG18" s="80"/>
      <c r="AH18" s="136"/>
    </row>
    <row r="19" spans="1:34" s="32" customFormat="1" ht="12.75" thickBot="1" x14ac:dyDescent="0.25">
      <c r="A19" s="250"/>
      <c r="B19" s="245"/>
      <c r="C19" s="251"/>
      <c r="D19" s="262" t="s">
        <v>10</v>
      </c>
      <c r="E19" s="263">
        <f>+E20+E21+E22+E23+E24+E25+E26+E27+E28+E29+E30+E31+E32+E33</f>
        <v>221315</v>
      </c>
      <c r="F19" s="263">
        <f>+F20+F21+F22+F23+F24+F25+F26+F27+F28+F29+F30+F31+F32+F33</f>
        <v>219385</v>
      </c>
      <c r="G19" s="263">
        <f>+G20+G21+G22+G23+G24+G25+G26+G27+G28+G29+G30+G31+G32+G33</f>
        <v>0</v>
      </c>
      <c r="H19" s="263">
        <f>+H20+H21+H22+H23+H24+H25+H26+H27+H28+H29+H30+H31+H32+H33</f>
        <v>0</v>
      </c>
      <c r="I19" s="263">
        <f>+I20+I21+I22+I23+I24+I25+I26+I27+I28+I29+I30+I31+I32+I33</f>
        <v>0</v>
      </c>
      <c r="J19" s="59" t="s">
        <v>130</v>
      </c>
      <c r="K19" s="254">
        <f>+K20+K21+K22+K23+K24+K25+K26+K27+K28+K29+K30+K31+K32+K33</f>
        <v>219385</v>
      </c>
      <c r="L19" s="81">
        <f>+L36+L37+L38+L39+L40+L41+L42+L43+L44</f>
        <v>218548.33</v>
      </c>
      <c r="M19" s="82">
        <f>+M36+M37+M38+M39+M40+M41+M42+M43+M44</f>
        <v>176667.88</v>
      </c>
      <c r="N19" s="83">
        <f>+N36+N37+N38+N39+N40+N41+N42+N43+N44</f>
        <v>60502.862500000003</v>
      </c>
      <c r="O19" s="84">
        <f>+M19+N19</f>
        <v>237170.74249999999</v>
      </c>
      <c r="P19" s="85">
        <f t="shared" ref="P19:AF19" si="1">+P36+P37+P38+P39+P40+P41+P42+P43+P44</f>
        <v>36524.294345000002</v>
      </c>
      <c r="Q19" s="86">
        <f t="shared" si="1"/>
        <v>25495.854818749998</v>
      </c>
      <c r="R19" s="86">
        <f t="shared" si="1"/>
        <v>28816.24521375</v>
      </c>
      <c r="S19" s="86">
        <f t="shared" si="1"/>
        <v>32848.147836250006</v>
      </c>
      <c r="T19" s="87">
        <f t="shared" si="1"/>
        <v>113486.20028624999</v>
      </c>
      <c r="U19" s="87">
        <f t="shared" ref="U19:U44" si="2">+P19+Q19+R19+S19+T19</f>
        <v>237170.74249999999</v>
      </c>
      <c r="V19" s="88">
        <f t="shared" si="1"/>
        <v>36524.294345000002</v>
      </c>
      <c r="W19" s="89">
        <f t="shared" si="1"/>
        <v>25495.854818749998</v>
      </c>
      <c r="X19" s="89">
        <f t="shared" si="1"/>
        <v>28816.24521375</v>
      </c>
      <c r="Y19" s="89">
        <f t="shared" si="1"/>
        <v>32848.147836250006</v>
      </c>
      <c r="Z19" s="90">
        <f t="shared" si="1"/>
        <v>113486.20028624999</v>
      </c>
      <c r="AA19" s="90">
        <f t="shared" ref="AA19:AA82" si="3">+V19+W19+X19+Y19+Z19</f>
        <v>237170.74249999999</v>
      </c>
      <c r="AB19" s="91">
        <f t="shared" si="1"/>
        <v>171765.19500000001</v>
      </c>
      <c r="AC19" s="92">
        <f t="shared" si="1"/>
        <v>50716.027715114637</v>
      </c>
      <c r="AD19" s="92">
        <f t="shared" si="1"/>
        <v>35409.656672799312</v>
      </c>
      <c r="AE19" s="92">
        <f t="shared" si="1"/>
        <v>40020.20464690066</v>
      </c>
      <c r="AF19" s="92">
        <f t="shared" si="1"/>
        <v>45619.305965185406</v>
      </c>
      <c r="AG19" s="293"/>
      <c r="AH19" s="282">
        <f t="shared" ref="AH19:AH82" si="4">+AC19+AD19+AE19+AF19+AG19</f>
        <v>171765.19500000001</v>
      </c>
    </row>
    <row r="20" spans="1:34" s="43" customFormat="1" ht="14.45" hidden="1" customHeight="1" x14ac:dyDescent="0.2">
      <c r="A20" s="249"/>
      <c r="B20" s="239" t="s">
        <v>11</v>
      </c>
      <c r="C20" s="239" t="s">
        <v>12</v>
      </c>
      <c r="D20" s="8"/>
      <c r="E20" s="10">
        <v>155092</v>
      </c>
      <c r="F20" s="10">
        <v>157437.97</v>
      </c>
      <c r="G20" s="10">
        <v>0</v>
      </c>
      <c r="H20" s="10">
        <v>0</v>
      </c>
      <c r="I20" s="10">
        <v>0</v>
      </c>
      <c r="J20" s="264"/>
      <c r="K20" s="255">
        <f t="shared" ref="K20:K33" si="5">+F20-G20-H20-I20-J20</f>
        <v>157437.97</v>
      </c>
      <c r="L20" s="94"/>
      <c r="M20" s="95"/>
      <c r="N20" s="96"/>
      <c r="O20" s="97"/>
      <c r="P20" s="98"/>
      <c r="Q20" s="99"/>
      <c r="R20" s="99"/>
      <c r="S20" s="99"/>
      <c r="T20" s="100"/>
      <c r="U20" s="100">
        <f t="shared" si="2"/>
        <v>0</v>
      </c>
      <c r="V20" s="101"/>
      <c r="W20" s="102"/>
      <c r="X20" s="102"/>
      <c r="Y20" s="102"/>
      <c r="Z20" s="103"/>
      <c r="AA20" s="103">
        <f t="shared" si="3"/>
        <v>0</v>
      </c>
      <c r="AB20" s="104"/>
      <c r="AC20" s="105"/>
      <c r="AD20" s="105"/>
      <c r="AE20" s="105"/>
      <c r="AF20" s="105"/>
      <c r="AG20" s="294"/>
      <c r="AH20" s="283">
        <f t="shared" si="4"/>
        <v>0</v>
      </c>
    </row>
    <row r="21" spans="1:34" s="43" customFormat="1" ht="14.45" hidden="1" customHeight="1" x14ac:dyDescent="0.2">
      <c r="A21" s="93"/>
      <c r="B21" s="8" t="s">
        <v>13</v>
      </c>
      <c r="C21" s="8" t="s">
        <v>14</v>
      </c>
      <c r="D21" s="8"/>
      <c r="E21" s="10">
        <v>13650</v>
      </c>
      <c r="F21" s="10">
        <v>13650</v>
      </c>
      <c r="G21" s="10">
        <v>0</v>
      </c>
      <c r="H21" s="10">
        <v>0</v>
      </c>
      <c r="I21" s="10">
        <v>0</v>
      </c>
      <c r="J21" s="264"/>
      <c r="K21" s="255">
        <f t="shared" si="5"/>
        <v>13650</v>
      </c>
      <c r="L21" s="94"/>
      <c r="M21" s="95"/>
      <c r="N21" s="96"/>
      <c r="O21" s="97"/>
      <c r="P21" s="98"/>
      <c r="Q21" s="99"/>
      <c r="R21" s="99"/>
      <c r="S21" s="99"/>
      <c r="T21" s="100"/>
      <c r="U21" s="100">
        <f t="shared" si="2"/>
        <v>0</v>
      </c>
      <c r="V21" s="101"/>
      <c r="W21" s="102"/>
      <c r="X21" s="102"/>
      <c r="Y21" s="102"/>
      <c r="Z21" s="103"/>
      <c r="AA21" s="103">
        <f t="shared" si="3"/>
        <v>0</v>
      </c>
      <c r="AB21" s="104"/>
      <c r="AC21" s="105"/>
      <c r="AD21" s="105"/>
      <c r="AE21" s="105"/>
      <c r="AF21" s="105"/>
      <c r="AG21" s="294"/>
      <c r="AH21" s="283">
        <f t="shared" si="4"/>
        <v>0</v>
      </c>
    </row>
    <row r="22" spans="1:34" s="43" customFormat="1" ht="14.45" hidden="1" customHeight="1" x14ac:dyDescent="0.2">
      <c r="A22" s="93"/>
      <c r="B22" s="8" t="s">
        <v>15</v>
      </c>
      <c r="C22" s="8" t="s">
        <v>16</v>
      </c>
      <c r="D22" s="8"/>
      <c r="E22" s="10">
        <v>1697</v>
      </c>
      <c r="F22" s="10">
        <v>797.81</v>
      </c>
      <c r="G22" s="10">
        <v>0</v>
      </c>
      <c r="H22" s="10">
        <v>0</v>
      </c>
      <c r="I22" s="10">
        <v>0</v>
      </c>
      <c r="J22" s="264"/>
      <c r="K22" s="255">
        <f t="shared" si="5"/>
        <v>797.81</v>
      </c>
      <c r="L22" s="94"/>
      <c r="M22" s="95"/>
      <c r="N22" s="96"/>
      <c r="O22" s="97"/>
      <c r="P22" s="98"/>
      <c r="Q22" s="99"/>
      <c r="R22" s="99"/>
      <c r="S22" s="99"/>
      <c r="T22" s="100"/>
      <c r="U22" s="100">
        <f t="shared" si="2"/>
        <v>0</v>
      </c>
      <c r="V22" s="101"/>
      <c r="W22" s="102"/>
      <c r="X22" s="102"/>
      <c r="Y22" s="102"/>
      <c r="Z22" s="103"/>
      <c r="AA22" s="103">
        <f t="shared" si="3"/>
        <v>0</v>
      </c>
      <c r="AB22" s="104"/>
      <c r="AC22" s="105"/>
      <c r="AD22" s="105"/>
      <c r="AE22" s="105"/>
      <c r="AF22" s="105"/>
      <c r="AG22" s="294"/>
      <c r="AH22" s="283">
        <f t="shared" si="4"/>
        <v>0</v>
      </c>
    </row>
    <row r="23" spans="1:34" s="43" customFormat="1" ht="14.45" hidden="1" customHeight="1" x14ac:dyDescent="0.2">
      <c r="A23" s="93"/>
      <c r="B23" s="8" t="s">
        <v>17</v>
      </c>
      <c r="C23" s="8" t="s">
        <v>18</v>
      </c>
      <c r="D23" s="8"/>
      <c r="E23" s="10">
        <v>6743</v>
      </c>
      <c r="F23" s="10">
        <v>6743</v>
      </c>
      <c r="G23" s="10">
        <v>0</v>
      </c>
      <c r="H23" s="10">
        <v>0</v>
      </c>
      <c r="I23" s="10">
        <v>0</v>
      </c>
      <c r="J23" s="264"/>
      <c r="K23" s="255">
        <f t="shared" si="5"/>
        <v>6743</v>
      </c>
      <c r="L23" s="94"/>
      <c r="M23" s="95"/>
      <c r="N23" s="96"/>
      <c r="O23" s="97"/>
      <c r="P23" s="98"/>
      <c r="Q23" s="99"/>
      <c r="R23" s="99"/>
      <c r="S23" s="99"/>
      <c r="T23" s="100"/>
      <c r="U23" s="100">
        <f t="shared" si="2"/>
        <v>0</v>
      </c>
      <c r="V23" s="101"/>
      <c r="W23" s="102"/>
      <c r="X23" s="102"/>
      <c r="Y23" s="102"/>
      <c r="Z23" s="103"/>
      <c r="AA23" s="103">
        <f t="shared" si="3"/>
        <v>0</v>
      </c>
      <c r="AB23" s="104"/>
      <c r="AC23" s="105"/>
      <c r="AD23" s="105"/>
      <c r="AE23" s="105"/>
      <c r="AF23" s="105"/>
      <c r="AG23" s="294"/>
      <c r="AH23" s="283">
        <f t="shared" si="4"/>
        <v>0</v>
      </c>
    </row>
    <row r="24" spans="1:34" s="43" customFormat="1" ht="14.45" hidden="1" customHeight="1" x14ac:dyDescent="0.2">
      <c r="A24" s="93"/>
      <c r="B24" s="8" t="s">
        <v>19</v>
      </c>
      <c r="C24" s="8" t="s">
        <v>20</v>
      </c>
      <c r="D24" s="8"/>
      <c r="E24" s="10">
        <v>8039</v>
      </c>
      <c r="F24" s="10">
        <v>6180.64</v>
      </c>
      <c r="G24" s="10">
        <v>0</v>
      </c>
      <c r="H24" s="10">
        <v>0</v>
      </c>
      <c r="I24" s="10">
        <v>0</v>
      </c>
      <c r="J24" s="264"/>
      <c r="K24" s="255">
        <f t="shared" si="5"/>
        <v>6180.64</v>
      </c>
      <c r="L24" s="94"/>
      <c r="M24" s="95"/>
      <c r="N24" s="96"/>
      <c r="O24" s="97"/>
      <c r="P24" s="98"/>
      <c r="Q24" s="99"/>
      <c r="R24" s="99"/>
      <c r="S24" s="99"/>
      <c r="T24" s="100"/>
      <c r="U24" s="100">
        <f t="shared" si="2"/>
        <v>0</v>
      </c>
      <c r="V24" s="101"/>
      <c r="W24" s="102"/>
      <c r="X24" s="102"/>
      <c r="Y24" s="102"/>
      <c r="Z24" s="103"/>
      <c r="AA24" s="103">
        <f t="shared" si="3"/>
        <v>0</v>
      </c>
      <c r="AB24" s="104"/>
      <c r="AC24" s="105"/>
      <c r="AD24" s="105"/>
      <c r="AE24" s="105"/>
      <c r="AF24" s="105"/>
      <c r="AG24" s="294"/>
      <c r="AH24" s="283">
        <f t="shared" si="4"/>
        <v>0</v>
      </c>
    </row>
    <row r="25" spans="1:34" s="43" customFormat="1" ht="14.45" hidden="1" customHeight="1" x14ac:dyDescent="0.2">
      <c r="A25" s="93"/>
      <c r="B25" s="8" t="s">
        <v>21</v>
      </c>
      <c r="C25" s="8" t="s">
        <v>22</v>
      </c>
      <c r="D25" s="8"/>
      <c r="E25" s="10">
        <v>6212</v>
      </c>
      <c r="F25" s="10">
        <v>5017.58</v>
      </c>
      <c r="G25" s="10">
        <v>0</v>
      </c>
      <c r="H25" s="10">
        <v>0</v>
      </c>
      <c r="I25" s="10">
        <v>0</v>
      </c>
      <c r="J25" s="264"/>
      <c r="K25" s="255">
        <f t="shared" si="5"/>
        <v>5017.58</v>
      </c>
      <c r="L25" s="94"/>
      <c r="M25" s="95"/>
      <c r="N25" s="96"/>
      <c r="O25" s="97"/>
      <c r="P25" s="98"/>
      <c r="Q25" s="99"/>
      <c r="R25" s="99"/>
      <c r="S25" s="99"/>
      <c r="T25" s="100"/>
      <c r="U25" s="100">
        <f t="shared" si="2"/>
        <v>0</v>
      </c>
      <c r="V25" s="101"/>
      <c r="W25" s="102"/>
      <c r="X25" s="102"/>
      <c r="Y25" s="102"/>
      <c r="Z25" s="103"/>
      <c r="AA25" s="103">
        <f t="shared" si="3"/>
        <v>0</v>
      </c>
      <c r="AB25" s="104"/>
      <c r="AC25" s="105"/>
      <c r="AD25" s="105"/>
      <c r="AE25" s="105"/>
      <c r="AF25" s="105"/>
      <c r="AG25" s="294"/>
      <c r="AH25" s="283">
        <f t="shared" si="4"/>
        <v>0</v>
      </c>
    </row>
    <row r="26" spans="1:34" s="43" customFormat="1" ht="14.45" hidden="1" customHeight="1" x14ac:dyDescent="0.2">
      <c r="A26" s="93"/>
      <c r="B26" s="8" t="s">
        <v>23</v>
      </c>
      <c r="C26" s="8" t="s">
        <v>24</v>
      </c>
      <c r="D26" s="8"/>
      <c r="E26" s="10">
        <v>1000</v>
      </c>
      <c r="F26" s="10">
        <v>1000</v>
      </c>
      <c r="G26" s="10">
        <v>0</v>
      </c>
      <c r="H26" s="10">
        <v>0</v>
      </c>
      <c r="I26" s="10">
        <v>0</v>
      </c>
      <c r="J26" s="264"/>
      <c r="K26" s="255">
        <f t="shared" si="5"/>
        <v>1000</v>
      </c>
      <c r="L26" s="94"/>
      <c r="M26" s="95"/>
      <c r="N26" s="96"/>
      <c r="O26" s="97"/>
      <c r="P26" s="98"/>
      <c r="Q26" s="99"/>
      <c r="R26" s="99"/>
      <c r="S26" s="99"/>
      <c r="T26" s="100"/>
      <c r="U26" s="100">
        <f t="shared" si="2"/>
        <v>0</v>
      </c>
      <c r="V26" s="101"/>
      <c r="W26" s="102"/>
      <c r="X26" s="102"/>
      <c r="Y26" s="102"/>
      <c r="Z26" s="103"/>
      <c r="AA26" s="103">
        <f t="shared" si="3"/>
        <v>0</v>
      </c>
      <c r="AB26" s="104"/>
      <c r="AC26" s="105"/>
      <c r="AD26" s="105"/>
      <c r="AE26" s="105"/>
      <c r="AF26" s="105"/>
      <c r="AG26" s="294"/>
      <c r="AH26" s="283">
        <f t="shared" si="4"/>
        <v>0</v>
      </c>
    </row>
    <row r="27" spans="1:34" s="43" customFormat="1" ht="14.45" hidden="1" customHeight="1" x14ac:dyDescent="0.2">
      <c r="A27" s="93"/>
      <c r="B27" s="8" t="s">
        <v>25</v>
      </c>
      <c r="C27" s="8" t="s">
        <v>26</v>
      </c>
      <c r="D27" s="8"/>
      <c r="E27" s="10">
        <v>15150</v>
      </c>
      <c r="F27" s="10">
        <v>15150</v>
      </c>
      <c r="G27" s="10">
        <v>0</v>
      </c>
      <c r="H27" s="10">
        <v>0</v>
      </c>
      <c r="I27" s="10">
        <v>0</v>
      </c>
      <c r="J27" s="264"/>
      <c r="K27" s="255">
        <f t="shared" si="5"/>
        <v>15150</v>
      </c>
      <c r="L27" s="94"/>
      <c r="M27" s="95"/>
      <c r="N27" s="96"/>
      <c r="O27" s="97"/>
      <c r="P27" s="98"/>
      <c r="Q27" s="99"/>
      <c r="R27" s="99"/>
      <c r="S27" s="99"/>
      <c r="T27" s="100"/>
      <c r="U27" s="100">
        <f t="shared" si="2"/>
        <v>0</v>
      </c>
      <c r="V27" s="101"/>
      <c r="W27" s="102"/>
      <c r="X27" s="102"/>
      <c r="Y27" s="102"/>
      <c r="Z27" s="103"/>
      <c r="AA27" s="103">
        <f t="shared" si="3"/>
        <v>0</v>
      </c>
      <c r="AB27" s="104"/>
      <c r="AC27" s="105"/>
      <c r="AD27" s="105"/>
      <c r="AE27" s="105"/>
      <c r="AF27" s="105"/>
      <c r="AG27" s="294"/>
      <c r="AH27" s="283">
        <f t="shared" si="4"/>
        <v>0</v>
      </c>
    </row>
    <row r="28" spans="1:34" s="43" customFormat="1" ht="14.45" hidden="1" customHeight="1" x14ac:dyDescent="0.2">
      <c r="A28" s="93"/>
      <c r="B28" s="8" t="s">
        <v>27</v>
      </c>
      <c r="C28" s="8" t="s">
        <v>28</v>
      </c>
      <c r="D28" s="8"/>
      <c r="E28" s="10">
        <v>11229</v>
      </c>
      <c r="F28" s="10">
        <v>11229</v>
      </c>
      <c r="G28" s="10">
        <v>0</v>
      </c>
      <c r="H28" s="10">
        <v>0</v>
      </c>
      <c r="I28" s="10">
        <v>0</v>
      </c>
      <c r="J28" s="264"/>
      <c r="K28" s="255">
        <f t="shared" si="5"/>
        <v>11229</v>
      </c>
      <c r="L28" s="94"/>
      <c r="M28" s="95"/>
      <c r="N28" s="96"/>
      <c r="O28" s="97"/>
      <c r="P28" s="98"/>
      <c r="Q28" s="99"/>
      <c r="R28" s="99"/>
      <c r="S28" s="99"/>
      <c r="T28" s="100"/>
      <c r="U28" s="100">
        <f t="shared" si="2"/>
        <v>0</v>
      </c>
      <c r="V28" s="101"/>
      <c r="W28" s="102"/>
      <c r="X28" s="102"/>
      <c r="Y28" s="102"/>
      <c r="Z28" s="103"/>
      <c r="AA28" s="103">
        <f t="shared" si="3"/>
        <v>0</v>
      </c>
      <c r="AB28" s="104"/>
      <c r="AC28" s="105"/>
      <c r="AD28" s="105"/>
      <c r="AE28" s="105"/>
      <c r="AF28" s="105"/>
      <c r="AG28" s="294"/>
      <c r="AH28" s="283">
        <f t="shared" si="4"/>
        <v>0</v>
      </c>
    </row>
    <row r="29" spans="1:34" s="43" customFormat="1" ht="14.45" hidden="1" customHeight="1" x14ac:dyDescent="0.2">
      <c r="A29" s="93"/>
      <c r="B29" s="8" t="s">
        <v>29</v>
      </c>
      <c r="C29" s="8" t="s">
        <v>30</v>
      </c>
      <c r="D29" s="8"/>
      <c r="E29" s="10">
        <v>907</v>
      </c>
      <c r="F29" s="10">
        <v>907</v>
      </c>
      <c r="G29" s="10">
        <v>0</v>
      </c>
      <c r="H29" s="10">
        <v>0</v>
      </c>
      <c r="I29" s="10">
        <v>0</v>
      </c>
      <c r="J29" s="264"/>
      <c r="K29" s="255">
        <f t="shared" si="5"/>
        <v>907</v>
      </c>
      <c r="L29" s="94"/>
      <c r="M29" s="95"/>
      <c r="N29" s="96"/>
      <c r="O29" s="97"/>
      <c r="P29" s="98"/>
      <c r="Q29" s="99"/>
      <c r="R29" s="99"/>
      <c r="S29" s="99"/>
      <c r="T29" s="100"/>
      <c r="U29" s="100">
        <f t="shared" si="2"/>
        <v>0</v>
      </c>
      <c r="V29" s="101"/>
      <c r="W29" s="102"/>
      <c r="X29" s="102"/>
      <c r="Y29" s="102"/>
      <c r="Z29" s="103"/>
      <c r="AA29" s="103">
        <f t="shared" si="3"/>
        <v>0</v>
      </c>
      <c r="AB29" s="104"/>
      <c r="AC29" s="105"/>
      <c r="AD29" s="105"/>
      <c r="AE29" s="105"/>
      <c r="AF29" s="105"/>
      <c r="AG29" s="294"/>
      <c r="AH29" s="283">
        <f t="shared" si="4"/>
        <v>0</v>
      </c>
    </row>
    <row r="30" spans="1:34" s="43" customFormat="1" ht="14.45" hidden="1" customHeight="1" x14ac:dyDescent="0.2">
      <c r="A30" s="93"/>
      <c r="B30" s="8" t="s">
        <v>31</v>
      </c>
      <c r="C30" s="8" t="s">
        <v>32</v>
      </c>
      <c r="D30" s="8"/>
      <c r="E30" s="10">
        <v>103</v>
      </c>
      <c r="F30" s="10">
        <v>103</v>
      </c>
      <c r="G30" s="10">
        <v>0</v>
      </c>
      <c r="H30" s="10">
        <v>0</v>
      </c>
      <c r="I30" s="10">
        <v>0</v>
      </c>
      <c r="J30" s="264"/>
      <c r="K30" s="255">
        <f t="shared" si="5"/>
        <v>103</v>
      </c>
      <c r="L30" s="94"/>
      <c r="M30" s="95"/>
      <c r="N30" s="96"/>
      <c r="O30" s="97"/>
      <c r="P30" s="98"/>
      <c r="Q30" s="99"/>
      <c r="R30" s="99"/>
      <c r="S30" s="99"/>
      <c r="T30" s="100"/>
      <c r="U30" s="100">
        <f t="shared" si="2"/>
        <v>0</v>
      </c>
      <c r="V30" s="101"/>
      <c r="W30" s="102"/>
      <c r="X30" s="102"/>
      <c r="Y30" s="102"/>
      <c r="Z30" s="103"/>
      <c r="AA30" s="103">
        <f t="shared" si="3"/>
        <v>0</v>
      </c>
      <c r="AB30" s="104"/>
      <c r="AC30" s="105"/>
      <c r="AD30" s="105"/>
      <c r="AE30" s="105"/>
      <c r="AF30" s="105"/>
      <c r="AG30" s="294"/>
      <c r="AH30" s="283">
        <f t="shared" si="4"/>
        <v>0</v>
      </c>
    </row>
    <row r="31" spans="1:34" s="43" customFormat="1" ht="14.45" hidden="1" customHeight="1" x14ac:dyDescent="0.2">
      <c r="A31" s="93"/>
      <c r="B31" s="8" t="s">
        <v>33</v>
      </c>
      <c r="C31" s="8" t="s">
        <v>34</v>
      </c>
      <c r="D31" s="8"/>
      <c r="E31" s="10">
        <v>171</v>
      </c>
      <c r="F31" s="10">
        <v>171</v>
      </c>
      <c r="G31" s="10">
        <v>0</v>
      </c>
      <c r="H31" s="10">
        <v>0</v>
      </c>
      <c r="I31" s="10">
        <v>0</v>
      </c>
      <c r="J31" s="264"/>
      <c r="K31" s="255">
        <f t="shared" si="5"/>
        <v>171</v>
      </c>
      <c r="L31" s="94"/>
      <c r="M31" s="95"/>
      <c r="N31" s="96"/>
      <c r="O31" s="97"/>
      <c r="P31" s="98"/>
      <c r="Q31" s="99"/>
      <c r="R31" s="99"/>
      <c r="S31" s="99"/>
      <c r="T31" s="100"/>
      <c r="U31" s="100">
        <f t="shared" si="2"/>
        <v>0</v>
      </c>
      <c r="V31" s="101"/>
      <c r="W31" s="102"/>
      <c r="X31" s="102"/>
      <c r="Y31" s="102"/>
      <c r="Z31" s="103"/>
      <c r="AA31" s="103">
        <f t="shared" si="3"/>
        <v>0</v>
      </c>
      <c r="AB31" s="104"/>
      <c r="AC31" s="105"/>
      <c r="AD31" s="105"/>
      <c r="AE31" s="105"/>
      <c r="AF31" s="105"/>
      <c r="AG31" s="294"/>
      <c r="AH31" s="283">
        <f t="shared" si="4"/>
        <v>0</v>
      </c>
    </row>
    <row r="32" spans="1:34" s="43" customFormat="1" ht="14.45" hidden="1" customHeight="1" x14ac:dyDescent="0.2">
      <c r="A32" s="93"/>
      <c r="B32" s="8" t="s">
        <v>35</v>
      </c>
      <c r="C32" s="8" t="s">
        <v>36</v>
      </c>
      <c r="D32" s="8"/>
      <c r="E32" s="10">
        <v>432</v>
      </c>
      <c r="F32" s="10">
        <v>108</v>
      </c>
      <c r="G32" s="10">
        <v>0</v>
      </c>
      <c r="H32" s="10">
        <v>0</v>
      </c>
      <c r="I32" s="10">
        <v>0</v>
      </c>
      <c r="J32" s="264"/>
      <c r="K32" s="255">
        <f t="shared" si="5"/>
        <v>108</v>
      </c>
      <c r="L32" s="94"/>
      <c r="M32" s="95"/>
      <c r="N32" s="96"/>
      <c r="O32" s="97"/>
      <c r="P32" s="98"/>
      <c r="Q32" s="99"/>
      <c r="R32" s="99"/>
      <c r="S32" s="99"/>
      <c r="T32" s="100"/>
      <c r="U32" s="100">
        <f t="shared" si="2"/>
        <v>0</v>
      </c>
      <c r="V32" s="101"/>
      <c r="W32" s="102"/>
      <c r="X32" s="102"/>
      <c r="Y32" s="102"/>
      <c r="Z32" s="103"/>
      <c r="AA32" s="103">
        <f t="shared" si="3"/>
        <v>0</v>
      </c>
      <c r="AB32" s="104"/>
      <c r="AC32" s="105"/>
      <c r="AD32" s="105"/>
      <c r="AE32" s="105"/>
      <c r="AF32" s="105"/>
      <c r="AG32" s="294"/>
      <c r="AH32" s="283">
        <f t="shared" si="4"/>
        <v>0</v>
      </c>
    </row>
    <row r="33" spans="1:34" s="43" customFormat="1" ht="14.45" hidden="1" customHeight="1" x14ac:dyDescent="0.2">
      <c r="A33" s="93"/>
      <c r="B33" s="8" t="s">
        <v>37</v>
      </c>
      <c r="C33" s="8" t="s">
        <v>38</v>
      </c>
      <c r="D33" s="8"/>
      <c r="E33" s="10">
        <v>890</v>
      </c>
      <c r="F33" s="10">
        <v>890</v>
      </c>
      <c r="G33" s="10">
        <v>0</v>
      </c>
      <c r="H33" s="10">
        <v>0</v>
      </c>
      <c r="I33" s="10">
        <v>0</v>
      </c>
      <c r="J33" s="264"/>
      <c r="K33" s="255">
        <f t="shared" si="5"/>
        <v>890</v>
      </c>
      <c r="L33" s="94"/>
      <c r="M33" s="95"/>
      <c r="N33" s="96"/>
      <c r="O33" s="97"/>
      <c r="P33" s="98"/>
      <c r="Q33" s="99"/>
      <c r="R33" s="99"/>
      <c r="S33" s="99"/>
      <c r="T33" s="100"/>
      <c r="U33" s="100">
        <f t="shared" si="2"/>
        <v>0</v>
      </c>
      <c r="V33" s="101"/>
      <c r="W33" s="102"/>
      <c r="X33" s="102"/>
      <c r="Y33" s="102"/>
      <c r="Z33" s="103"/>
      <c r="AA33" s="103">
        <f t="shared" si="3"/>
        <v>0</v>
      </c>
      <c r="AB33" s="104"/>
      <c r="AC33" s="105"/>
      <c r="AD33" s="105"/>
      <c r="AE33" s="105"/>
      <c r="AF33" s="105"/>
      <c r="AG33" s="294"/>
      <c r="AH33" s="283">
        <f t="shared" si="4"/>
        <v>0</v>
      </c>
    </row>
    <row r="34" spans="1:34" s="43" customFormat="1" ht="14.45" hidden="1" customHeight="1" x14ac:dyDescent="0.2">
      <c r="A34" s="93"/>
      <c r="B34" s="8" t="s">
        <v>23</v>
      </c>
      <c r="C34" s="8"/>
      <c r="D34" s="8"/>
      <c r="E34" s="10">
        <v>1000</v>
      </c>
      <c r="F34" s="10">
        <v>1000</v>
      </c>
      <c r="G34" s="10">
        <v>0</v>
      </c>
      <c r="H34" s="10">
        <v>0</v>
      </c>
      <c r="I34" s="10">
        <v>0</v>
      </c>
      <c r="J34" s="264"/>
      <c r="K34" s="255">
        <f>+F34-G34-H34-I34-J34</f>
        <v>1000</v>
      </c>
      <c r="L34" s="94"/>
      <c r="M34" s="95"/>
      <c r="N34" s="96"/>
      <c r="O34" s="97"/>
      <c r="P34" s="98"/>
      <c r="Q34" s="99"/>
      <c r="R34" s="99"/>
      <c r="S34" s="99"/>
      <c r="T34" s="100"/>
      <c r="U34" s="100">
        <f t="shared" si="2"/>
        <v>0</v>
      </c>
      <c r="V34" s="101"/>
      <c r="W34" s="102"/>
      <c r="X34" s="102"/>
      <c r="Y34" s="102"/>
      <c r="Z34" s="103"/>
      <c r="AA34" s="103">
        <f t="shared" si="3"/>
        <v>0</v>
      </c>
      <c r="AB34" s="104"/>
      <c r="AC34" s="105"/>
      <c r="AD34" s="105"/>
      <c r="AE34" s="105"/>
      <c r="AF34" s="105"/>
      <c r="AG34" s="294"/>
      <c r="AH34" s="283">
        <f t="shared" si="4"/>
        <v>0</v>
      </c>
    </row>
    <row r="35" spans="1:34" s="43" customFormat="1" ht="14.45" hidden="1" customHeight="1" x14ac:dyDescent="0.2">
      <c r="A35" s="93"/>
      <c r="B35" s="8" t="s">
        <v>39</v>
      </c>
      <c r="C35" s="8" t="s">
        <v>40</v>
      </c>
      <c r="D35" s="8"/>
      <c r="E35" s="10">
        <v>1243</v>
      </c>
      <c r="F35" s="10">
        <v>3173</v>
      </c>
      <c r="G35" s="10">
        <v>0</v>
      </c>
      <c r="H35" s="10">
        <v>0</v>
      </c>
      <c r="I35" s="10">
        <v>0</v>
      </c>
      <c r="J35" s="265">
        <v>3147.14</v>
      </c>
      <c r="K35" s="256">
        <f>+F35-G35-H35-I35-J35</f>
        <v>25.860000000000127</v>
      </c>
      <c r="L35" s="108"/>
      <c r="M35" s="37"/>
      <c r="N35" s="38"/>
      <c r="O35" s="39"/>
      <c r="P35" s="109"/>
      <c r="Q35" s="110"/>
      <c r="R35" s="110"/>
      <c r="S35" s="110"/>
      <c r="T35" s="111"/>
      <c r="U35" s="111">
        <f t="shared" si="2"/>
        <v>0</v>
      </c>
      <c r="V35" s="112"/>
      <c r="W35" s="113"/>
      <c r="X35" s="113"/>
      <c r="Y35" s="113"/>
      <c r="Z35" s="114"/>
      <c r="AA35" s="114">
        <f t="shared" si="3"/>
        <v>0</v>
      </c>
      <c r="AB35" s="115"/>
      <c r="AC35" s="116"/>
      <c r="AD35" s="116"/>
      <c r="AE35" s="116"/>
      <c r="AF35" s="116"/>
      <c r="AG35" s="117"/>
      <c r="AH35" s="222">
        <f t="shared" si="4"/>
        <v>0</v>
      </c>
    </row>
    <row r="36" spans="1:34" s="43" customFormat="1" ht="12" x14ac:dyDescent="0.2">
      <c r="A36" s="276" t="s">
        <v>132</v>
      </c>
      <c r="B36" s="8"/>
      <c r="C36" s="279" t="s">
        <v>134</v>
      </c>
      <c r="D36" s="8"/>
      <c r="E36" s="10"/>
      <c r="F36" s="10"/>
      <c r="G36" s="10"/>
      <c r="H36" s="10"/>
      <c r="I36" s="10"/>
      <c r="J36" s="266" t="s">
        <v>143</v>
      </c>
      <c r="K36" s="257"/>
      <c r="L36" s="118">
        <f>+plače!B18</f>
        <v>22239.470000000005</v>
      </c>
      <c r="M36" s="119">
        <f>+plače!B33</f>
        <v>16263.62</v>
      </c>
      <c r="N36" s="120">
        <f>+plače!B36*3</f>
        <v>5237.4166666666679</v>
      </c>
      <c r="O36" s="121">
        <f>+M36+N36</f>
        <v>21501.036666666667</v>
      </c>
      <c r="P36" s="109">
        <f t="shared" ref="P36:P47" si="6">+O36*$P$15/100</f>
        <v>3311.159646666667</v>
      </c>
      <c r="Q36" s="110">
        <f t="shared" ref="Q36:Q47" si="7">+O36*$Q$15/100</f>
        <v>2311.3614416666665</v>
      </c>
      <c r="R36" s="110">
        <f t="shared" ref="R36:R47" si="8">+O36*$R$15/100</f>
        <v>2612.375955</v>
      </c>
      <c r="S36" s="110">
        <f t="shared" ref="S36:S47" si="9">+O36*$S$15/100</f>
        <v>2977.8935783333332</v>
      </c>
      <c r="T36" s="111">
        <f t="shared" ref="T36:T47" si="10">+O36*$T$15/100</f>
        <v>10288.246045</v>
      </c>
      <c r="U36" s="111">
        <f t="shared" si="2"/>
        <v>21501.036666666667</v>
      </c>
      <c r="V36" s="112">
        <f t="shared" ref="V36:V47" si="11">+O36*$V$15/100</f>
        <v>3311.159646666667</v>
      </c>
      <c r="W36" s="113">
        <f t="shared" ref="W36:W85" si="12">+O36*$W$15/100</f>
        <v>2311.3614416666665</v>
      </c>
      <c r="X36" s="113">
        <f t="shared" ref="X36:X85" si="13">+O36*$X$15/100</f>
        <v>2612.375955</v>
      </c>
      <c r="Y36" s="113">
        <f t="shared" ref="Y36:Y85" si="14">+O36*$Y$15/100</f>
        <v>2977.8935783333332</v>
      </c>
      <c r="Z36" s="114">
        <f t="shared" ref="Z36:Z85" si="15">+O36*$Z$15/100</f>
        <v>10288.246045</v>
      </c>
      <c r="AA36" s="114">
        <f t="shared" si="3"/>
        <v>21501.036666666667</v>
      </c>
      <c r="AB36" s="115">
        <v>21501.040000000001</v>
      </c>
      <c r="AC36" s="116">
        <f t="shared" ref="AC36:AC85" si="16">+AB36*$AC$15/100</f>
        <v>6348.4767128974436</v>
      </c>
      <c r="AD36" s="116">
        <f t="shared" ref="AD36:AD85" si="17">+AB36*$AD$15/100</f>
        <v>4432.4721577507307</v>
      </c>
      <c r="AE36" s="116">
        <f t="shared" ref="AE36:AE85" si="18">+AB36*$AE$15/100</f>
        <v>5009.6064043777715</v>
      </c>
      <c r="AF36" s="116">
        <f t="shared" ref="AF36:AF85" si="19">+AB36*$AF$15/100</f>
        <v>5710.4847249740551</v>
      </c>
      <c r="AG36" s="117"/>
      <c r="AH36" s="222">
        <f t="shared" si="4"/>
        <v>21501.040000000001</v>
      </c>
    </row>
    <row r="37" spans="1:34" s="43" customFormat="1" ht="12" x14ac:dyDescent="0.2">
      <c r="A37" s="277"/>
      <c r="B37" s="8"/>
      <c r="C37" s="280"/>
      <c r="D37" s="8"/>
      <c r="E37" s="10"/>
      <c r="F37" s="10"/>
      <c r="G37" s="10"/>
      <c r="H37" s="10"/>
      <c r="I37" s="10"/>
      <c r="J37" s="266" t="s">
        <v>122</v>
      </c>
      <c r="K37" s="257"/>
      <c r="L37" s="118">
        <f>+plače!C18</f>
        <v>21999.18</v>
      </c>
      <c r="M37" s="119">
        <f>+plače!C33</f>
        <v>18135.45</v>
      </c>
      <c r="N37" s="120">
        <f>+plače!C36*3</f>
        <v>5519.3520833333332</v>
      </c>
      <c r="O37" s="121">
        <f t="shared" ref="O37:O44" si="20">+M37+N37</f>
        <v>23654.802083333336</v>
      </c>
      <c r="P37" s="109">
        <f t="shared" si="6"/>
        <v>3642.8395208333341</v>
      </c>
      <c r="Q37" s="110">
        <f t="shared" si="7"/>
        <v>2542.8912239583337</v>
      </c>
      <c r="R37" s="110">
        <f t="shared" si="8"/>
        <v>2874.0584531250001</v>
      </c>
      <c r="S37" s="110">
        <f t="shared" si="9"/>
        <v>3276.1900885416667</v>
      </c>
      <c r="T37" s="111">
        <f t="shared" si="10"/>
        <v>11318.822796875002</v>
      </c>
      <c r="U37" s="111">
        <f t="shared" si="2"/>
        <v>23654.802083333336</v>
      </c>
      <c r="V37" s="112">
        <f t="shared" si="11"/>
        <v>3642.8395208333341</v>
      </c>
      <c r="W37" s="113">
        <f t="shared" si="12"/>
        <v>2542.8912239583337</v>
      </c>
      <c r="X37" s="113">
        <f t="shared" si="13"/>
        <v>2874.0584531250001</v>
      </c>
      <c r="Y37" s="113">
        <f t="shared" si="14"/>
        <v>3276.1900885416667</v>
      </c>
      <c r="Z37" s="114">
        <f t="shared" si="15"/>
        <v>11318.822796875002</v>
      </c>
      <c r="AA37" s="114">
        <f t="shared" si="3"/>
        <v>23654.802083333336</v>
      </c>
      <c r="AB37" s="115">
        <f>+O37</f>
        <v>23654.802083333336</v>
      </c>
      <c r="AC37" s="116">
        <f>+AB37*$AC$15/100</f>
        <v>6984.4044834221795</v>
      </c>
      <c r="AD37" s="116">
        <f t="shared" si="17"/>
        <v>4876.4734929788974</v>
      </c>
      <c r="AE37" s="116">
        <f t="shared" si="18"/>
        <v>5511.4193551081871</v>
      </c>
      <c r="AF37" s="116">
        <f t="shared" si="19"/>
        <v>6282.5047518240726</v>
      </c>
      <c r="AG37" s="117"/>
      <c r="AH37" s="222">
        <f t="shared" si="4"/>
        <v>23654.802083333336</v>
      </c>
    </row>
    <row r="38" spans="1:34" s="43" customFormat="1" ht="12" x14ac:dyDescent="0.2">
      <c r="A38" s="277"/>
      <c r="B38" s="8"/>
      <c r="C38" s="280"/>
      <c r="D38" s="8"/>
      <c r="E38" s="10"/>
      <c r="F38" s="10"/>
      <c r="G38" s="10"/>
      <c r="H38" s="10"/>
      <c r="I38" s="10"/>
      <c r="J38" s="266" t="s">
        <v>123</v>
      </c>
      <c r="K38" s="257"/>
      <c r="L38" s="118">
        <f>+plače!D18</f>
        <v>42097.229999999996</v>
      </c>
      <c r="M38" s="119">
        <f>+plače!D33</f>
        <v>32485.070000000003</v>
      </c>
      <c r="N38" s="120">
        <f>+plače!D36*3</f>
        <v>10423.211666666666</v>
      </c>
      <c r="O38" s="121">
        <f t="shared" si="20"/>
        <v>42908.281666666669</v>
      </c>
      <c r="P38" s="109">
        <f t="shared" si="6"/>
        <v>6607.8753766666669</v>
      </c>
      <c r="Q38" s="110">
        <f t="shared" si="7"/>
        <v>4612.6402791666669</v>
      </c>
      <c r="R38" s="110">
        <f t="shared" si="8"/>
        <v>5213.3562225000005</v>
      </c>
      <c r="S38" s="110">
        <f t="shared" si="9"/>
        <v>5942.7970108333338</v>
      </c>
      <c r="T38" s="111">
        <f t="shared" si="10"/>
        <v>20531.612777500002</v>
      </c>
      <c r="U38" s="111">
        <f t="shared" si="2"/>
        <v>42908.281666666662</v>
      </c>
      <c r="V38" s="112">
        <f t="shared" si="11"/>
        <v>6607.8753766666669</v>
      </c>
      <c r="W38" s="113">
        <f t="shared" si="12"/>
        <v>4612.6402791666669</v>
      </c>
      <c r="X38" s="113">
        <f t="shared" si="13"/>
        <v>5213.3562225000005</v>
      </c>
      <c r="Y38" s="113">
        <f t="shared" si="14"/>
        <v>5942.7970108333338</v>
      </c>
      <c r="Z38" s="114">
        <f t="shared" si="15"/>
        <v>20531.612777500002</v>
      </c>
      <c r="AA38" s="114">
        <f t="shared" si="3"/>
        <v>42908.281666666662</v>
      </c>
      <c r="AB38" s="115">
        <v>0</v>
      </c>
      <c r="AC38" s="116">
        <f t="shared" si="16"/>
        <v>0</v>
      </c>
      <c r="AD38" s="116">
        <f t="shared" si="17"/>
        <v>0</v>
      </c>
      <c r="AE38" s="116">
        <f t="shared" si="18"/>
        <v>0</v>
      </c>
      <c r="AF38" s="116">
        <f t="shared" si="19"/>
        <v>0</v>
      </c>
      <c r="AG38" s="117"/>
      <c r="AH38" s="222">
        <f t="shared" si="4"/>
        <v>0</v>
      </c>
    </row>
    <row r="39" spans="1:34" s="43" customFormat="1" ht="12" x14ac:dyDescent="0.2">
      <c r="A39" s="277"/>
      <c r="B39" s="8"/>
      <c r="C39" s="280"/>
      <c r="D39" s="8"/>
      <c r="E39" s="10"/>
      <c r="F39" s="10"/>
      <c r="G39" s="10"/>
      <c r="H39" s="10"/>
      <c r="I39" s="10"/>
      <c r="J39" s="266" t="s">
        <v>122</v>
      </c>
      <c r="K39" s="257"/>
      <c r="L39" s="118">
        <f>+plače!E18</f>
        <v>23885.09</v>
      </c>
      <c r="M39" s="119">
        <f>+plače!E33</f>
        <v>19296.7</v>
      </c>
      <c r="N39" s="120">
        <f>+plače!F36*3</f>
        <v>11538.270416666666</v>
      </c>
      <c r="O39" s="121">
        <f t="shared" si="20"/>
        <v>30834.970416666667</v>
      </c>
      <c r="P39" s="109">
        <f t="shared" si="6"/>
        <v>4748.585444166667</v>
      </c>
      <c r="Q39" s="110">
        <f t="shared" si="7"/>
        <v>3314.7593197916667</v>
      </c>
      <c r="R39" s="110">
        <f t="shared" si="8"/>
        <v>3746.448905625</v>
      </c>
      <c r="S39" s="110">
        <f t="shared" si="9"/>
        <v>4270.6434027083333</v>
      </c>
      <c r="T39" s="111">
        <f t="shared" si="10"/>
        <v>14754.533344375001</v>
      </c>
      <c r="U39" s="111">
        <f t="shared" si="2"/>
        <v>30834.970416666671</v>
      </c>
      <c r="V39" s="112">
        <f t="shared" si="11"/>
        <v>4748.585444166667</v>
      </c>
      <c r="W39" s="113">
        <f t="shared" si="12"/>
        <v>3314.7593197916667</v>
      </c>
      <c r="X39" s="113">
        <f t="shared" si="13"/>
        <v>3746.448905625</v>
      </c>
      <c r="Y39" s="113">
        <f t="shared" si="14"/>
        <v>4270.6434027083333</v>
      </c>
      <c r="Z39" s="114">
        <f t="shared" si="15"/>
        <v>14754.533344375001</v>
      </c>
      <c r="AA39" s="114">
        <f t="shared" si="3"/>
        <v>30834.970416666671</v>
      </c>
      <c r="AB39" s="115">
        <f>+O39</f>
        <v>30834.970416666667</v>
      </c>
      <c r="AC39" s="116">
        <f t="shared" si="16"/>
        <v>9104.4475817490656</v>
      </c>
      <c r="AD39" s="116">
        <f t="shared" si="17"/>
        <v>6356.6761355237904</v>
      </c>
      <c r="AE39" s="116">
        <f t="shared" si="18"/>
        <v>7184.3531884100703</v>
      </c>
      <c r="AF39" s="116">
        <f t="shared" si="19"/>
        <v>8189.4935109837415</v>
      </c>
      <c r="AG39" s="117"/>
      <c r="AH39" s="222">
        <f t="shared" si="4"/>
        <v>30834.970416666667</v>
      </c>
    </row>
    <row r="40" spans="1:34" s="43" customFormat="1" ht="12" x14ac:dyDescent="0.2">
      <c r="A40" s="277"/>
      <c r="B40" s="8"/>
      <c r="C40" s="280"/>
      <c r="D40" s="8"/>
      <c r="E40" s="10"/>
      <c r="F40" s="10"/>
      <c r="G40" s="10"/>
      <c r="H40" s="10"/>
      <c r="I40" s="10"/>
      <c r="J40" s="266" t="s">
        <v>124</v>
      </c>
      <c r="K40" s="257"/>
      <c r="L40" s="118">
        <f>+plače!F18</f>
        <v>44581.86</v>
      </c>
      <c r="M40" s="119">
        <f>+plače!F33</f>
        <v>37311.949999999997</v>
      </c>
      <c r="N40" s="120">
        <f>+plače!F36*3</f>
        <v>11538.270416666666</v>
      </c>
      <c r="O40" s="121">
        <f t="shared" si="20"/>
        <v>48850.220416666663</v>
      </c>
      <c r="P40" s="109">
        <f t="shared" si="6"/>
        <v>7522.9339441666662</v>
      </c>
      <c r="Q40" s="110">
        <f t="shared" si="7"/>
        <v>5251.3986947916655</v>
      </c>
      <c r="R40" s="110">
        <f t="shared" si="8"/>
        <v>5935.301780625</v>
      </c>
      <c r="S40" s="110">
        <f t="shared" si="9"/>
        <v>6765.7555277083329</v>
      </c>
      <c r="T40" s="111">
        <f t="shared" si="10"/>
        <v>23374.830469375</v>
      </c>
      <c r="U40" s="111">
        <f t="shared" si="2"/>
        <v>48850.220416666663</v>
      </c>
      <c r="V40" s="112">
        <f t="shared" si="11"/>
        <v>7522.9339441666662</v>
      </c>
      <c r="W40" s="113">
        <f t="shared" si="12"/>
        <v>5251.3986947916655</v>
      </c>
      <c r="X40" s="113">
        <f t="shared" si="13"/>
        <v>5935.301780625</v>
      </c>
      <c r="Y40" s="113">
        <f t="shared" si="14"/>
        <v>6765.7555277083329</v>
      </c>
      <c r="Z40" s="114">
        <f t="shared" si="15"/>
        <v>23374.830469375</v>
      </c>
      <c r="AA40" s="114">
        <f t="shared" si="3"/>
        <v>48850.220416666663</v>
      </c>
      <c r="AB40" s="115">
        <f>+O40</f>
        <v>48850.220416666663</v>
      </c>
      <c r="AC40" s="116">
        <f t="shared" si="16"/>
        <v>14423.69702745149</v>
      </c>
      <c r="AD40" s="116">
        <f t="shared" si="17"/>
        <v>10070.547373376417</v>
      </c>
      <c r="AE40" s="116">
        <f t="shared" si="18"/>
        <v>11381.792557690191</v>
      </c>
      <c r="AF40" s="116">
        <f t="shared" si="19"/>
        <v>12974.183458148567</v>
      </c>
      <c r="AG40" s="117"/>
      <c r="AH40" s="222">
        <f t="shared" si="4"/>
        <v>48850.220416666663</v>
      </c>
    </row>
    <row r="41" spans="1:34" s="43" customFormat="1" ht="12" x14ac:dyDescent="0.2">
      <c r="A41" s="277"/>
      <c r="B41" s="8"/>
      <c r="C41" s="280"/>
      <c r="D41" s="8"/>
      <c r="E41" s="10"/>
      <c r="F41" s="10"/>
      <c r="G41" s="10"/>
      <c r="H41" s="10"/>
      <c r="I41" s="10"/>
      <c r="J41" s="266" t="s">
        <v>122</v>
      </c>
      <c r="K41" s="257"/>
      <c r="L41" s="118">
        <f>+plače!G18</f>
        <v>20708.240000000002</v>
      </c>
      <c r="M41" s="119">
        <f>+plače!G33</f>
        <v>20420.489999999998</v>
      </c>
      <c r="N41" s="120">
        <f>+plače!G36*3</f>
        <v>5738.8245833333331</v>
      </c>
      <c r="O41" s="121">
        <f t="shared" si="20"/>
        <v>26159.314583333333</v>
      </c>
      <c r="P41" s="109">
        <f t="shared" si="6"/>
        <v>4028.5344458333334</v>
      </c>
      <c r="Q41" s="110">
        <f t="shared" si="7"/>
        <v>2812.1263177083333</v>
      </c>
      <c r="R41" s="110">
        <f t="shared" si="8"/>
        <v>3178.3567218749999</v>
      </c>
      <c r="S41" s="110">
        <f t="shared" si="9"/>
        <v>3623.0650697916662</v>
      </c>
      <c r="T41" s="111">
        <f t="shared" si="10"/>
        <v>12517.232028125001</v>
      </c>
      <c r="U41" s="111">
        <f t="shared" si="2"/>
        <v>26159.314583333333</v>
      </c>
      <c r="V41" s="112">
        <f t="shared" si="11"/>
        <v>4028.5344458333334</v>
      </c>
      <c r="W41" s="113">
        <f t="shared" si="12"/>
        <v>2812.1263177083333</v>
      </c>
      <c r="X41" s="113">
        <f t="shared" si="13"/>
        <v>3178.3567218749999</v>
      </c>
      <c r="Y41" s="113">
        <f t="shared" si="14"/>
        <v>3623.0650697916662</v>
      </c>
      <c r="Z41" s="114">
        <f t="shared" si="15"/>
        <v>12517.232028125001</v>
      </c>
      <c r="AA41" s="114">
        <f t="shared" si="3"/>
        <v>26159.314583333333</v>
      </c>
      <c r="AB41" s="115">
        <f>+O41</f>
        <v>26159.314583333333</v>
      </c>
      <c r="AC41" s="116">
        <f t="shared" si="16"/>
        <v>7723.8961211946098</v>
      </c>
      <c r="AD41" s="116">
        <f t="shared" si="17"/>
        <v>5392.7825610513564</v>
      </c>
      <c r="AE41" s="116">
        <f t="shared" si="18"/>
        <v>6094.9549357054129</v>
      </c>
      <c r="AF41" s="116">
        <f t="shared" si="19"/>
        <v>6947.6809653819546</v>
      </c>
      <c r="AG41" s="117"/>
      <c r="AH41" s="222">
        <f t="shared" si="4"/>
        <v>26159.314583333333</v>
      </c>
    </row>
    <row r="42" spans="1:34" s="43" customFormat="1" ht="12" x14ac:dyDescent="0.2">
      <c r="A42" s="277"/>
      <c r="B42" s="8"/>
      <c r="C42" s="280"/>
      <c r="D42" s="8"/>
      <c r="E42" s="10"/>
      <c r="F42" s="10"/>
      <c r="G42" s="10"/>
      <c r="H42" s="10"/>
      <c r="I42" s="10"/>
      <c r="J42" s="266" t="s">
        <v>122</v>
      </c>
      <c r="K42" s="257"/>
      <c r="L42" s="118">
        <f>+plače!H18</f>
        <v>22216.17</v>
      </c>
      <c r="M42" s="119">
        <f>+plače!H33</f>
        <v>17120.030000000002</v>
      </c>
      <c r="N42" s="120">
        <f>+plače!H36*3</f>
        <v>5377.2391666666663</v>
      </c>
      <c r="O42" s="121">
        <f t="shared" si="20"/>
        <v>22497.269166666669</v>
      </c>
      <c r="P42" s="109">
        <f t="shared" si="6"/>
        <v>3464.579451666667</v>
      </c>
      <c r="Q42" s="110">
        <f t="shared" si="7"/>
        <v>2418.4564354166669</v>
      </c>
      <c r="R42" s="110">
        <f t="shared" si="8"/>
        <v>2733.41820375</v>
      </c>
      <c r="S42" s="110">
        <f t="shared" si="9"/>
        <v>3115.8717795833336</v>
      </c>
      <c r="T42" s="111">
        <f t="shared" si="10"/>
        <v>10764.943296250003</v>
      </c>
      <c r="U42" s="111">
        <f t="shared" si="2"/>
        <v>22497.269166666669</v>
      </c>
      <c r="V42" s="112">
        <f t="shared" si="11"/>
        <v>3464.579451666667</v>
      </c>
      <c r="W42" s="113">
        <f t="shared" si="12"/>
        <v>2418.4564354166669</v>
      </c>
      <c r="X42" s="113">
        <f t="shared" si="13"/>
        <v>2733.41820375</v>
      </c>
      <c r="Y42" s="113">
        <f t="shared" si="14"/>
        <v>3115.8717795833336</v>
      </c>
      <c r="Z42" s="114">
        <f t="shared" si="15"/>
        <v>10764.943296250003</v>
      </c>
      <c r="AA42" s="114">
        <f t="shared" si="3"/>
        <v>22497.269166666669</v>
      </c>
      <c r="AB42" s="115">
        <v>0</v>
      </c>
      <c r="AC42" s="116">
        <f t="shared" si="16"/>
        <v>0</v>
      </c>
      <c r="AD42" s="116">
        <f t="shared" si="17"/>
        <v>0</v>
      </c>
      <c r="AE42" s="116">
        <f t="shared" si="18"/>
        <v>0</v>
      </c>
      <c r="AF42" s="116">
        <f t="shared" si="19"/>
        <v>0</v>
      </c>
      <c r="AG42" s="117"/>
      <c r="AH42" s="222">
        <f t="shared" si="4"/>
        <v>0</v>
      </c>
    </row>
    <row r="43" spans="1:34" s="43" customFormat="1" ht="12" x14ac:dyDescent="0.2">
      <c r="A43" s="277"/>
      <c r="B43" s="8"/>
      <c r="C43" s="280"/>
      <c r="D43" s="8"/>
      <c r="E43" s="10"/>
      <c r="F43" s="10"/>
      <c r="G43" s="10"/>
      <c r="H43" s="10"/>
      <c r="I43" s="10"/>
      <c r="J43" s="266" t="s">
        <v>122</v>
      </c>
      <c r="K43" s="257"/>
      <c r="L43" s="118">
        <f>+plače!I18</f>
        <v>19021.09</v>
      </c>
      <c r="M43" s="119">
        <f>+plače!I33</f>
        <v>14434.569999999998</v>
      </c>
      <c r="N43" s="120">
        <f>+plače!I36*3</f>
        <v>4530.2775000000001</v>
      </c>
      <c r="O43" s="121">
        <f t="shared" si="20"/>
        <v>18964.847499999996</v>
      </c>
      <c r="P43" s="109">
        <f t="shared" si="6"/>
        <v>2920.5865149999991</v>
      </c>
      <c r="Q43" s="110">
        <f t="shared" si="7"/>
        <v>2038.7211062499998</v>
      </c>
      <c r="R43" s="110">
        <f t="shared" si="8"/>
        <v>2304.2289712499996</v>
      </c>
      <c r="S43" s="110">
        <f t="shared" si="9"/>
        <v>2626.6313787499994</v>
      </c>
      <c r="T43" s="111">
        <f t="shared" si="10"/>
        <v>9074.679528749999</v>
      </c>
      <c r="U43" s="111">
        <f t="shared" si="2"/>
        <v>18964.847499999996</v>
      </c>
      <c r="V43" s="112">
        <f t="shared" si="11"/>
        <v>2920.5865149999991</v>
      </c>
      <c r="W43" s="113">
        <f t="shared" si="12"/>
        <v>2038.7211062499998</v>
      </c>
      <c r="X43" s="113">
        <f t="shared" si="13"/>
        <v>2304.2289712499996</v>
      </c>
      <c r="Y43" s="113">
        <f t="shared" si="14"/>
        <v>2626.6313787499994</v>
      </c>
      <c r="Z43" s="114">
        <f t="shared" si="15"/>
        <v>9074.679528749999</v>
      </c>
      <c r="AA43" s="114">
        <f t="shared" si="3"/>
        <v>18964.847499999996</v>
      </c>
      <c r="AB43" s="115">
        <f>+O43</f>
        <v>18964.847499999996</v>
      </c>
      <c r="AC43" s="116">
        <f t="shared" si="16"/>
        <v>5599.6311209783935</v>
      </c>
      <c r="AD43" s="116">
        <f t="shared" si="17"/>
        <v>3909.6322094065467</v>
      </c>
      <c r="AE43" s="116">
        <f t="shared" si="18"/>
        <v>4418.6895840409461</v>
      </c>
      <c r="AF43" s="116">
        <f t="shared" si="19"/>
        <v>5036.8945855741104</v>
      </c>
      <c r="AG43" s="117"/>
      <c r="AH43" s="222">
        <f t="shared" si="4"/>
        <v>18964.847499999996</v>
      </c>
    </row>
    <row r="44" spans="1:34" s="43" customFormat="1" ht="12.75" thickBot="1" x14ac:dyDescent="0.25">
      <c r="A44" s="278"/>
      <c r="B44" s="267"/>
      <c r="C44" s="281"/>
      <c r="D44" s="267"/>
      <c r="E44" s="268"/>
      <c r="F44" s="268"/>
      <c r="G44" s="268"/>
      <c r="H44" s="268"/>
      <c r="I44" s="268"/>
      <c r="J44" s="269"/>
      <c r="K44" s="257"/>
      <c r="L44" s="122">
        <f>12*150</f>
        <v>1800</v>
      </c>
      <c r="M44" s="123">
        <f>8*150</f>
        <v>1200</v>
      </c>
      <c r="N44" s="124">
        <f>4*150</f>
        <v>600</v>
      </c>
      <c r="O44" s="125">
        <f t="shared" si="20"/>
        <v>1800</v>
      </c>
      <c r="P44" s="126">
        <f t="shared" si="6"/>
        <v>277.2</v>
      </c>
      <c r="Q44" s="127">
        <f t="shared" si="7"/>
        <v>193.5</v>
      </c>
      <c r="R44" s="127">
        <f t="shared" si="8"/>
        <v>218.7</v>
      </c>
      <c r="S44" s="127">
        <f t="shared" si="9"/>
        <v>249.3</v>
      </c>
      <c r="T44" s="128">
        <f t="shared" si="10"/>
        <v>861.3</v>
      </c>
      <c r="U44" s="128">
        <f t="shared" si="2"/>
        <v>1800</v>
      </c>
      <c r="V44" s="129">
        <f t="shared" si="11"/>
        <v>277.2</v>
      </c>
      <c r="W44" s="130">
        <f t="shared" si="12"/>
        <v>193.5</v>
      </c>
      <c r="X44" s="130">
        <f t="shared" si="13"/>
        <v>218.7</v>
      </c>
      <c r="Y44" s="130">
        <f t="shared" si="14"/>
        <v>249.3</v>
      </c>
      <c r="Z44" s="131">
        <f t="shared" si="15"/>
        <v>861.3</v>
      </c>
      <c r="AA44" s="131">
        <f t="shared" si="3"/>
        <v>1800</v>
      </c>
      <c r="AB44" s="132">
        <v>1800</v>
      </c>
      <c r="AC44" s="133">
        <f t="shared" si="16"/>
        <v>531.47466742145491</v>
      </c>
      <c r="AD44" s="133">
        <f t="shared" si="17"/>
        <v>371.07274271157655</v>
      </c>
      <c r="AE44" s="133">
        <f t="shared" si="18"/>
        <v>419.38862156807249</v>
      </c>
      <c r="AF44" s="133">
        <f t="shared" si="19"/>
        <v>478.06396829889616</v>
      </c>
      <c r="AG44" s="134"/>
      <c r="AH44" s="223">
        <f t="shared" si="4"/>
        <v>1800</v>
      </c>
    </row>
    <row r="45" spans="1:34" s="58" customFormat="1" ht="12.75" thickBot="1" x14ac:dyDescent="0.25">
      <c r="A45" s="260"/>
      <c r="B45" s="261"/>
      <c r="C45" s="261"/>
      <c r="D45" s="261"/>
      <c r="E45" s="271"/>
      <c r="F45" s="271"/>
      <c r="G45" s="271"/>
      <c r="H45" s="271"/>
      <c r="I45" s="271"/>
      <c r="J45" s="271"/>
      <c r="K45" s="135"/>
      <c r="L45" s="136"/>
      <c r="M45" s="137"/>
      <c r="N45" s="138"/>
      <c r="O45" s="139"/>
      <c r="P45" s="137"/>
      <c r="Q45" s="138"/>
      <c r="R45" s="138"/>
      <c r="S45" s="138"/>
      <c r="T45" s="139"/>
      <c r="U45" s="139"/>
      <c r="V45" s="137"/>
      <c r="W45" s="138"/>
      <c r="X45" s="138"/>
      <c r="Y45" s="138"/>
      <c r="Z45" s="139"/>
      <c r="AA45" s="139">
        <f t="shared" si="3"/>
        <v>0</v>
      </c>
      <c r="AB45" s="137"/>
      <c r="AC45" s="138"/>
      <c r="AD45" s="138"/>
      <c r="AE45" s="138"/>
      <c r="AF45" s="138"/>
      <c r="AG45" s="139"/>
      <c r="AH45" s="136">
        <f t="shared" si="4"/>
        <v>0</v>
      </c>
    </row>
    <row r="46" spans="1:34" s="32" customFormat="1" ht="12.75" thickBot="1" x14ac:dyDescent="0.25">
      <c r="A46" s="240"/>
      <c r="B46" s="241"/>
      <c r="C46" s="242"/>
      <c r="D46" s="262"/>
      <c r="E46" s="263"/>
      <c r="F46" s="263"/>
      <c r="G46" s="263"/>
      <c r="H46" s="263"/>
      <c r="I46" s="263"/>
      <c r="J46" s="140" t="s">
        <v>131</v>
      </c>
      <c r="K46" s="270"/>
      <c r="L46" s="141">
        <f t="shared" ref="L46:T46" si="21">+L47+L49+L51+L53+L55+L57+L59+L61+L63+L65+L67+L69+L71+L73+L75+L77+L79+L81+L83+L85</f>
        <v>54540.180000000008</v>
      </c>
      <c r="M46" s="142">
        <f t="shared" si="21"/>
        <v>34964.180000000008</v>
      </c>
      <c r="N46" s="143">
        <f t="shared" si="21"/>
        <v>17285</v>
      </c>
      <c r="O46" s="144">
        <f t="shared" si="21"/>
        <v>52249.180000000008</v>
      </c>
      <c r="P46" s="145">
        <f t="shared" si="21"/>
        <v>8046.3737200000005</v>
      </c>
      <c r="Q46" s="146">
        <f t="shared" si="21"/>
        <v>5616.7868499999995</v>
      </c>
      <c r="R46" s="146">
        <f t="shared" si="21"/>
        <v>6348.2753700000012</v>
      </c>
      <c r="S46" s="146">
        <f t="shared" si="21"/>
        <v>7236.5114300000005</v>
      </c>
      <c r="T46" s="147">
        <f t="shared" si="21"/>
        <v>25001.232629999999</v>
      </c>
      <c r="U46" s="147">
        <f t="shared" ref="U46:U93" si="22">+P46+Q46+R46+S46+T46</f>
        <v>52249.18</v>
      </c>
      <c r="V46" s="148">
        <f>+V47+V49+V51+V53+V55+V57+V59+V61+V63+V65+V67+V69+V71+V73+V75+V77+V79+V81+V83+V85</f>
        <v>8046.3737200000005</v>
      </c>
      <c r="W46" s="149">
        <f>+W47+W49+W51+W53+W55+W57+W59+W61+W63+W65+W67+W69+W71+W73+W75+W77+W79+W81+W83+W85</f>
        <v>5616.7868499999995</v>
      </c>
      <c r="X46" s="149">
        <f>+X47+X49+X51+X53+X55+X57+X59+X61+X63+X65+X67+X69+X71+X73+X75+X77+X79+X81+X83+X85</f>
        <v>6348.2753700000012</v>
      </c>
      <c r="Y46" s="149">
        <f>+Y47+Y49+Y51+Y53+Y55+Y57+Y59+Y61+Y63+Y65+Y67+Y69+Y71+Y73+Y75+Y77+Y79+Y81+Y83+Y85</f>
        <v>7236.5114300000005</v>
      </c>
      <c r="Z46" s="150">
        <f>+Z47+Z49+Z51+Z53+Z55+Z57+Z59+Z61+Z63+Z65+Z67+Z69+Z71+Z73+Z75+Z77+Z79+Z81+Z83+Z85</f>
        <v>25001.232629999999</v>
      </c>
      <c r="AA46" s="150">
        <f t="shared" si="3"/>
        <v>52249.18</v>
      </c>
      <c r="AB46" s="151">
        <f t="shared" ref="AB46:AG46" si="23">+AB47+AB49+AB51+AB53+AB55+AB57+AB59+AB61+AB63+AB65+AB67+AB69+AB71+AB73+AB75+AB77+AB79+AB81+AB83+AB85</f>
        <v>50331.65</v>
      </c>
      <c r="AC46" s="152">
        <f t="shared" si="23"/>
        <v>14861.109413623924</v>
      </c>
      <c r="AD46" s="152">
        <f t="shared" si="23"/>
        <v>10375.94633927729</v>
      </c>
      <c r="AE46" s="152">
        <f t="shared" si="23"/>
        <v>11726.956285970376</v>
      </c>
      <c r="AF46" s="152">
        <f t="shared" si="23"/>
        <v>13367.63796112841</v>
      </c>
      <c r="AG46" s="153">
        <f t="shared" si="23"/>
        <v>0</v>
      </c>
      <c r="AH46" s="224">
        <f t="shared" si="4"/>
        <v>50331.649999999994</v>
      </c>
    </row>
    <row r="47" spans="1:34" s="43" customFormat="1" ht="12" x14ac:dyDescent="0.2">
      <c r="A47" s="237" t="s">
        <v>41</v>
      </c>
      <c r="B47" s="238"/>
      <c r="C47" s="239" t="s">
        <v>42</v>
      </c>
      <c r="D47" s="8" t="s">
        <v>10</v>
      </c>
      <c r="E47" s="10">
        <f>+E48</f>
        <v>4500</v>
      </c>
      <c r="F47" s="10">
        <f>+F48</f>
        <v>3236.51</v>
      </c>
      <c r="G47" s="10">
        <f>+G48</f>
        <v>0</v>
      </c>
      <c r="H47" s="10">
        <f>+H48</f>
        <v>0</v>
      </c>
      <c r="I47" s="10">
        <f>+I48</f>
        <v>0</v>
      </c>
      <c r="J47" s="272"/>
      <c r="K47" s="256">
        <f>+K48</f>
        <v>1590.8700000000001</v>
      </c>
      <c r="L47" s="155">
        <f>+L48</f>
        <v>1645.64</v>
      </c>
      <c r="M47" s="156">
        <v>1367.72</v>
      </c>
      <c r="N47" s="157">
        <f>170*4</f>
        <v>680</v>
      </c>
      <c r="O47" s="158">
        <f>+M47+N47</f>
        <v>2047.72</v>
      </c>
      <c r="P47" s="109">
        <f t="shared" si="6"/>
        <v>315.34888000000001</v>
      </c>
      <c r="Q47" s="110">
        <f t="shared" si="7"/>
        <v>220.12990000000002</v>
      </c>
      <c r="R47" s="110">
        <f t="shared" si="8"/>
        <v>248.79798000000002</v>
      </c>
      <c r="S47" s="110">
        <f t="shared" si="9"/>
        <v>283.60921999999999</v>
      </c>
      <c r="T47" s="111">
        <f t="shared" si="10"/>
        <v>979.83402000000001</v>
      </c>
      <c r="U47" s="111">
        <f t="shared" si="22"/>
        <v>2047.72</v>
      </c>
      <c r="V47" s="112">
        <f t="shared" si="11"/>
        <v>315.34888000000001</v>
      </c>
      <c r="W47" s="113">
        <f t="shared" si="12"/>
        <v>220.12990000000002</v>
      </c>
      <c r="X47" s="113">
        <f t="shared" si="13"/>
        <v>248.79798000000002</v>
      </c>
      <c r="Y47" s="113">
        <f t="shared" si="14"/>
        <v>283.60921999999999</v>
      </c>
      <c r="Z47" s="114">
        <f t="shared" si="15"/>
        <v>979.83402000000001</v>
      </c>
      <c r="AA47" s="114">
        <f t="shared" si="3"/>
        <v>2047.72</v>
      </c>
      <c r="AB47" s="115">
        <v>2047.72</v>
      </c>
      <c r="AC47" s="116">
        <f t="shared" si="16"/>
        <v>604.61739220681204</v>
      </c>
      <c r="AD47" s="116">
        <f t="shared" si="17"/>
        <v>422.14059816963862</v>
      </c>
      <c r="AE47" s="116">
        <f t="shared" si="18"/>
        <v>477.10581564298519</v>
      </c>
      <c r="AF47" s="116">
        <f t="shared" si="19"/>
        <v>543.85619398056429</v>
      </c>
      <c r="AG47" s="117"/>
      <c r="AH47" s="222">
        <f t="shared" si="4"/>
        <v>2047.72</v>
      </c>
    </row>
    <row r="48" spans="1:34" s="43" customFormat="1" ht="14.45" hidden="1" customHeight="1" x14ac:dyDescent="0.2">
      <c r="A48" s="93"/>
      <c r="B48" s="8" t="s">
        <v>43</v>
      </c>
      <c r="C48" s="8" t="s">
        <v>42</v>
      </c>
      <c r="D48" s="8"/>
      <c r="E48" s="10">
        <v>4500</v>
      </c>
      <c r="F48" s="10">
        <v>3236.51</v>
      </c>
      <c r="G48" s="10">
        <v>0</v>
      </c>
      <c r="H48" s="10">
        <v>0</v>
      </c>
      <c r="I48" s="10">
        <v>0</v>
      </c>
      <c r="J48" s="39"/>
      <c r="K48" s="256">
        <f>+F48-G48-H48-I48-L48</f>
        <v>1590.8700000000001</v>
      </c>
      <c r="L48" s="155">
        <v>1645.64</v>
      </c>
      <c r="M48" s="156">
        <v>1367.72</v>
      </c>
      <c r="N48" s="157"/>
      <c r="O48" s="158"/>
      <c r="P48" s="109"/>
      <c r="Q48" s="110"/>
      <c r="R48" s="110"/>
      <c r="S48" s="110"/>
      <c r="T48" s="111"/>
      <c r="U48" s="111">
        <f t="shared" si="22"/>
        <v>0</v>
      </c>
      <c r="V48" s="112"/>
      <c r="W48" s="113">
        <f t="shared" si="12"/>
        <v>0</v>
      </c>
      <c r="X48" s="113">
        <f t="shared" si="13"/>
        <v>0</v>
      </c>
      <c r="Y48" s="113">
        <f t="shared" si="14"/>
        <v>0</v>
      </c>
      <c r="Z48" s="114">
        <f t="shared" si="15"/>
        <v>0</v>
      </c>
      <c r="AA48" s="114">
        <f t="shared" si="3"/>
        <v>0</v>
      </c>
      <c r="AB48" s="115"/>
      <c r="AC48" s="116">
        <f t="shared" si="16"/>
        <v>0</v>
      </c>
      <c r="AD48" s="116">
        <f t="shared" si="17"/>
        <v>0</v>
      </c>
      <c r="AE48" s="116">
        <f t="shared" si="18"/>
        <v>0</v>
      </c>
      <c r="AF48" s="116">
        <f t="shared" si="19"/>
        <v>0</v>
      </c>
      <c r="AG48" s="117"/>
      <c r="AH48" s="222">
        <f t="shared" si="4"/>
        <v>0</v>
      </c>
    </row>
    <row r="49" spans="1:34" s="43" customFormat="1" ht="12" x14ac:dyDescent="0.2">
      <c r="A49" s="19" t="s">
        <v>44</v>
      </c>
      <c r="B49" s="9"/>
      <c r="C49" s="8" t="s">
        <v>45</v>
      </c>
      <c r="D49" s="8" t="s">
        <v>10</v>
      </c>
      <c r="E49" s="10">
        <f>+E50</f>
        <v>1000</v>
      </c>
      <c r="F49" s="10">
        <f>+F50</f>
        <v>1000</v>
      </c>
      <c r="G49" s="10">
        <f>+G50</f>
        <v>293.19</v>
      </c>
      <c r="H49" s="10">
        <f>+H50</f>
        <v>0</v>
      </c>
      <c r="I49" s="10">
        <f>+I50</f>
        <v>0</v>
      </c>
      <c r="J49" s="39"/>
      <c r="K49" s="256">
        <f>+K50</f>
        <v>415.21999999999997</v>
      </c>
      <c r="L49" s="155">
        <f>+L50</f>
        <v>291.58999999999997</v>
      </c>
      <c r="M49" s="156">
        <v>378.22</v>
      </c>
      <c r="N49" s="157">
        <f>47*4</f>
        <v>188</v>
      </c>
      <c r="O49" s="158">
        <f>+M49+N49</f>
        <v>566.22</v>
      </c>
      <c r="P49" s="109">
        <f t="shared" ref="P49:P86" si="24">+O49*$P$15/100</f>
        <v>87.197879999999998</v>
      </c>
      <c r="Q49" s="110">
        <f t="shared" ref="Q49:Q86" si="25">+O49*$Q$15/100</f>
        <v>60.868650000000009</v>
      </c>
      <c r="R49" s="110">
        <f t="shared" ref="R49:R86" si="26">+O49*$R$15/100</f>
        <v>68.795730000000006</v>
      </c>
      <c r="S49" s="110">
        <f t="shared" ref="S49:S86" si="27">+O49*$S$15/100</f>
        <v>78.421469999999999</v>
      </c>
      <c r="T49" s="111">
        <f t="shared" ref="T49:T86" si="28">+O49*$T$15/100</f>
        <v>270.93626999999998</v>
      </c>
      <c r="U49" s="111">
        <f t="shared" si="22"/>
        <v>566.22</v>
      </c>
      <c r="V49" s="112">
        <f t="shared" ref="V49:V85" si="29">+O49*$V$15/100</f>
        <v>87.197879999999998</v>
      </c>
      <c r="W49" s="113">
        <f t="shared" si="12"/>
        <v>60.868650000000009</v>
      </c>
      <c r="X49" s="113">
        <f t="shared" si="13"/>
        <v>68.795730000000006</v>
      </c>
      <c r="Y49" s="113">
        <f t="shared" si="14"/>
        <v>78.421469999999999</v>
      </c>
      <c r="Z49" s="114">
        <f t="shared" si="15"/>
        <v>270.93626999999998</v>
      </c>
      <c r="AA49" s="114">
        <f t="shared" si="3"/>
        <v>566.22</v>
      </c>
      <c r="AB49" s="115">
        <v>566.22</v>
      </c>
      <c r="AC49" s="116">
        <f t="shared" si="16"/>
        <v>167.18421454854234</v>
      </c>
      <c r="AD49" s="116">
        <f t="shared" si="17"/>
        <v>116.72711576563826</v>
      </c>
      <c r="AE49" s="116">
        <f t="shared" si="18"/>
        <v>131.92568072459667</v>
      </c>
      <c r="AF49" s="116">
        <f t="shared" si="19"/>
        <v>150.38298896122279</v>
      </c>
      <c r="AG49" s="117"/>
      <c r="AH49" s="222">
        <f t="shared" si="4"/>
        <v>566.22</v>
      </c>
    </row>
    <row r="50" spans="1:34" s="43" customFormat="1" ht="14.45" hidden="1" customHeight="1" x14ac:dyDescent="0.2">
      <c r="A50" s="93"/>
      <c r="B50" s="8" t="s">
        <v>46</v>
      </c>
      <c r="C50" s="8" t="s">
        <v>45</v>
      </c>
      <c r="D50" s="8"/>
      <c r="E50" s="10">
        <v>1000</v>
      </c>
      <c r="F50" s="10">
        <v>1000</v>
      </c>
      <c r="G50" s="10">
        <v>293.19</v>
      </c>
      <c r="H50" s="10">
        <v>0</v>
      </c>
      <c r="I50" s="10">
        <v>0</v>
      </c>
      <c r="J50" s="39"/>
      <c r="K50" s="256">
        <f>+F50-G50-H50-I50-L50</f>
        <v>415.21999999999997</v>
      </c>
      <c r="L50" s="155">
        <v>291.58999999999997</v>
      </c>
      <c r="M50" s="156">
        <v>378.22</v>
      </c>
      <c r="N50" s="157"/>
      <c r="O50" s="158"/>
      <c r="P50" s="109">
        <f t="shared" si="24"/>
        <v>0</v>
      </c>
      <c r="Q50" s="110">
        <f t="shared" si="25"/>
        <v>0</v>
      </c>
      <c r="R50" s="110">
        <f t="shared" si="26"/>
        <v>0</v>
      </c>
      <c r="S50" s="110">
        <f t="shared" si="27"/>
        <v>0</v>
      </c>
      <c r="T50" s="111">
        <f t="shared" si="28"/>
        <v>0</v>
      </c>
      <c r="U50" s="111">
        <f t="shared" si="22"/>
        <v>0</v>
      </c>
      <c r="V50" s="112">
        <f t="shared" si="29"/>
        <v>0</v>
      </c>
      <c r="W50" s="113">
        <f t="shared" si="12"/>
        <v>0</v>
      </c>
      <c r="X50" s="113">
        <f t="shared" si="13"/>
        <v>0</v>
      </c>
      <c r="Y50" s="113">
        <f t="shared" si="14"/>
        <v>0</v>
      </c>
      <c r="Z50" s="114">
        <f t="shared" si="15"/>
        <v>0</v>
      </c>
      <c r="AA50" s="114">
        <f t="shared" si="3"/>
        <v>0</v>
      </c>
      <c r="AB50" s="115"/>
      <c r="AC50" s="116">
        <f t="shared" si="16"/>
        <v>0</v>
      </c>
      <c r="AD50" s="116">
        <f t="shared" si="17"/>
        <v>0</v>
      </c>
      <c r="AE50" s="116">
        <f t="shared" si="18"/>
        <v>0</v>
      </c>
      <c r="AF50" s="116">
        <f t="shared" si="19"/>
        <v>0</v>
      </c>
      <c r="AG50" s="117"/>
      <c r="AH50" s="222">
        <f t="shared" si="4"/>
        <v>0</v>
      </c>
    </row>
    <row r="51" spans="1:34" s="43" customFormat="1" ht="12" hidden="1" x14ac:dyDescent="0.2">
      <c r="A51" s="19" t="s">
        <v>47</v>
      </c>
      <c r="B51" s="9"/>
      <c r="C51" s="8" t="s">
        <v>48</v>
      </c>
      <c r="D51" s="8" t="s">
        <v>10</v>
      </c>
      <c r="E51" s="10">
        <f>+E52</f>
        <v>1000</v>
      </c>
      <c r="F51" s="10">
        <f>+F52</f>
        <v>79.25</v>
      </c>
      <c r="G51" s="10">
        <f>+G52</f>
        <v>0</v>
      </c>
      <c r="H51" s="10">
        <f>+H52</f>
        <v>0</v>
      </c>
      <c r="I51" s="10">
        <f>+I52</f>
        <v>0</v>
      </c>
      <c r="J51" s="39"/>
      <c r="K51" s="256">
        <f>+K52</f>
        <v>79.25</v>
      </c>
      <c r="L51" s="155">
        <f>+L52</f>
        <v>0</v>
      </c>
      <c r="M51" s="156">
        <v>0</v>
      </c>
      <c r="N51" s="157">
        <v>0</v>
      </c>
      <c r="O51" s="158">
        <f>+M51+N51</f>
        <v>0</v>
      </c>
      <c r="P51" s="109">
        <f t="shared" si="24"/>
        <v>0</v>
      </c>
      <c r="Q51" s="110">
        <f t="shared" si="25"/>
        <v>0</v>
      </c>
      <c r="R51" s="110">
        <f t="shared" si="26"/>
        <v>0</v>
      </c>
      <c r="S51" s="110">
        <f t="shared" si="27"/>
        <v>0</v>
      </c>
      <c r="T51" s="111">
        <f t="shared" si="28"/>
        <v>0</v>
      </c>
      <c r="U51" s="111">
        <f t="shared" si="22"/>
        <v>0</v>
      </c>
      <c r="V51" s="112">
        <f t="shared" si="29"/>
        <v>0</v>
      </c>
      <c r="W51" s="113">
        <f t="shared" si="12"/>
        <v>0</v>
      </c>
      <c r="X51" s="113">
        <f t="shared" si="13"/>
        <v>0</v>
      </c>
      <c r="Y51" s="113">
        <f t="shared" si="14"/>
        <v>0</v>
      </c>
      <c r="Z51" s="114">
        <f t="shared" si="15"/>
        <v>0</v>
      </c>
      <c r="AA51" s="114">
        <f t="shared" si="3"/>
        <v>0</v>
      </c>
      <c r="AB51" s="115">
        <f>+Y51+Z51</f>
        <v>0</v>
      </c>
      <c r="AC51" s="116">
        <f t="shared" si="16"/>
        <v>0</v>
      </c>
      <c r="AD51" s="116">
        <f t="shared" si="17"/>
        <v>0</v>
      </c>
      <c r="AE51" s="116">
        <f t="shared" si="18"/>
        <v>0</v>
      </c>
      <c r="AF51" s="116">
        <f t="shared" si="19"/>
        <v>0</v>
      </c>
      <c r="AG51" s="117"/>
      <c r="AH51" s="222">
        <f t="shared" si="4"/>
        <v>0</v>
      </c>
    </row>
    <row r="52" spans="1:34" s="43" customFormat="1" ht="14.45" hidden="1" customHeight="1" x14ac:dyDescent="0.2">
      <c r="A52" s="93"/>
      <c r="B52" s="8" t="s">
        <v>49</v>
      </c>
      <c r="C52" s="8" t="s">
        <v>50</v>
      </c>
      <c r="D52" s="8"/>
      <c r="E52" s="10">
        <v>1000</v>
      </c>
      <c r="F52" s="10">
        <v>79.25</v>
      </c>
      <c r="G52" s="10">
        <v>0</v>
      </c>
      <c r="H52" s="10">
        <v>0</v>
      </c>
      <c r="I52" s="10">
        <v>0</v>
      </c>
      <c r="J52" s="39"/>
      <c r="K52" s="256">
        <f>+F52-G52-H52-I52-L52</f>
        <v>79.25</v>
      </c>
      <c r="L52" s="155">
        <v>0</v>
      </c>
      <c r="M52" s="156">
        <v>0</v>
      </c>
      <c r="N52" s="157"/>
      <c r="O52" s="158"/>
      <c r="P52" s="109">
        <f t="shared" si="24"/>
        <v>0</v>
      </c>
      <c r="Q52" s="110">
        <f t="shared" si="25"/>
        <v>0</v>
      </c>
      <c r="R52" s="110">
        <f t="shared" si="26"/>
        <v>0</v>
      </c>
      <c r="S52" s="110">
        <f t="shared" si="27"/>
        <v>0</v>
      </c>
      <c r="T52" s="111">
        <f t="shared" si="28"/>
        <v>0</v>
      </c>
      <c r="U52" s="111">
        <f t="shared" si="22"/>
        <v>0</v>
      </c>
      <c r="V52" s="112">
        <f t="shared" si="29"/>
        <v>0</v>
      </c>
      <c r="W52" s="113">
        <f t="shared" si="12"/>
        <v>0</v>
      </c>
      <c r="X52" s="113">
        <f t="shared" si="13"/>
        <v>0</v>
      </c>
      <c r="Y52" s="113">
        <f t="shared" si="14"/>
        <v>0</v>
      </c>
      <c r="Z52" s="114">
        <f t="shared" si="15"/>
        <v>0</v>
      </c>
      <c r="AA52" s="114">
        <f t="shared" si="3"/>
        <v>0</v>
      </c>
      <c r="AB52" s="115"/>
      <c r="AC52" s="116">
        <f t="shared" si="16"/>
        <v>0</v>
      </c>
      <c r="AD52" s="116">
        <f t="shared" si="17"/>
        <v>0</v>
      </c>
      <c r="AE52" s="116">
        <f t="shared" si="18"/>
        <v>0</v>
      </c>
      <c r="AF52" s="116">
        <f t="shared" si="19"/>
        <v>0</v>
      </c>
      <c r="AG52" s="117"/>
      <c r="AH52" s="222">
        <f t="shared" si="4"/>
        <v>0</v>
      </c>
    </row>
    <row r="53" spans="1:34" s="43" customFormat="1" ht="12" x14ac:dyDescent="0.2">
      <c r="A53" s="19" t="s">
        <v>51</v>
      </c>
      <c r="B53" s="9"/>
      <c r="C53" s="8" t="s">
        <v>52</v>
      </c>
      <c r="D53" s="8" t="s">
        <v>10</v>
      </c>
      <c r="E53" s="10">
        <f>+E54</f>
        <v>1200</v>
      </c>
      <c r="F53" s="10">
        <f>+F54</f>
        <v>1037.29</v>
      </c>
      <c r="G53" s="10">
        <f>+G54</f>
        <v>0</v>
      </c>
      <c r="H53" s="10">
        <f>+H54</f>
        <v>0</v>
      </c>
      <c r="I53" s="10">
        <f>+I54</f>
        <v>0</v>
      </c>
      <c r="J53" s="39"/>
      <c r="K53" s="256">
        <f>+K54</f>
        <v>641.74</v>
      </c>
      <c r="L53" s="155">
        <f>+L54</f>
        <v>395.55</v>
      </c>
      <c r="M53" s="156">
        <v>390.24</v>
      </c>
      <c r="N53" s="157">
        <f>50*4</f>
        <v>200</v>
      </c>
      <c r="O53" s="158">
        <f>+M53+N53</f>
        <v>590.24</v>
      </c>
      <c r="P53" s="109">
        <f t="shared" si="24"/>
        <v>90.896959999999993</v>
      </c>
      <c r="Q53" s="110">
        <f t="shared" si="25"/>
        <v>63.450800000000001</v>
      </c>
      <c r="R53" s="110">
        <f t="shared" si="26"/>
        <v>71.714160000000007</v>
      </c>
      <c r="S53" s="110">
        <f t="shared" si="27"/>
        <v>81.748239999999996</v>
      </c>
      <c r="T53" s="111">
        <f t="shared" si="28"/>
        <v>282.42984000000001</v>
      </c>
      <c r="U53" s="111">
        <f t="shared" si="22"/>
        <v>590.24</v>
      </c>
      <c r="V53" s="112">
        <f t="shared" si="29"/>
        <v>90.896959999999993</v>
      </c>
      <c r="W53" s="113">
        <f t="shared" si="12"/>
        <v>63.450800000000001</v>
      </c>
      <c r="X53" s="113">
        <f t="shared" si="13"/>
        <v>71.714160000000007</v>
      </c>
      <c r="Y53" s="113">
        <f t="shared" si="14"/>
        <v>81.748239999999996</v>
      </c>
      <c r="Z53" s="114">
        <f t="shared" si="15"/>
        <v>282.42984000000001</v>
      </c>
      <c r="AA53" s="114">
        <f t="shared" si="3"/>
        <v>590.24</v>
      </c>
      <c r="AB53" s="115">
        <v>590.24</v>
      </c>
      <c r="AC53" s="116">
        <f t="shared" si="16"/>
        <v>174.27644872157751</v>
      </c>
      <c r="AD53" s="116">
        <f t="shared" si="17"/>
        <v>121.67887536560052</v>
      </c>
      <c r="AE53" s="116">
        <f t="shared" si="18"/>
        <v>137.52218888574396</v>
      </c>
      <c r="AF53" s="116">
        <f t="shared" si="19"/>
        <v>156.76248702707804</v>
      </c>
      <c r="AG53" s="117"/>
      <c r="AH53" s="222">
        <f t="shared" si="4"/>
        <v>590.24</v>
      </c>
    </row>
    <row r="54" spans="1:34" s="43" customFormat="1" ht="14.45" hidden="1" customHeight="1" x14ac:dyDescent="0.2">
      <c r="A54" s="93"/>
      <c r="B54" s="8" t="s">
        <v>53</v>
      </c>
      <c r="C54" s="8" t="s">
        <v>54</v>
      </c>
      <c r="D54" s="8"/>
      <c r="E54" s="10">
        <v>1200</v>
      </c>
      <c r="F54" s="10">
        <v>1037.29</v>
      </c>
      <c r="G54" s="10">
        <v>0</v>
      </c>
      <c r="H54" s="10">
        <v>0</v>
      </c>
      <c r="I54" s="10">
        <v>0</v>
      </c>
      <c r="J54" s="39"/>
      <c r="K54" s="256">
        <f>+F54-G54-H54-I54-L54</f>
        <v>641.74</v>
      </c>
      <c r="L54" s="155">
        <v>395.55</v>
      </c>
      <c r="M54" s="156">
        <v>390.24</v>
      </c>
      <c r="N54" s="157"/>
      <c r="O54" s="158"/>
      <c r="P54" s="109">
        <f t="shared" si="24"/>
        <v>0</v>
      </c>
      <c r="Q54" s="110">
        <f t="shared" si="25"/>
        <v>0</v>
      </c>
      <c r="R54" s="110">
        <f t="shared" si="26"/>
        <v>0</v>
      </c>
      <c r="S54" s="110">
        <f t="shared" si="27"/>
        <v>0</v>
      </c>
      <c r="T54" s="111">
        <f t="shared" si="28"/>
        <v>0</v>
      </c>
      <c r="U54" s="111">
        <f t="shared" si="22"/>
        <v>0</v>
      </c>
      <c r="V54" s="112">
        <f t="shared" si="29"/>
        <v>0</v>
      </c>
      <c r="W54" s="113">
        <f t="shared" si="12"/>
        <v>0</v>
      </c>
      <c r="X54" s="113">
        <f t="shared" si="13"/>
        <v>0</v>
      </c>
      <c r="Y54" s="113">
        <f t="shared" si="14"/>
        <v>0</v>
      </c>
      <c r="Z54" s="114">
        <f t="shared" si="15"/>
        <v>0</v>
      </c>
      <c r="AA54" s="114">
        <f t="shared" si="3"/>
        <v>0</v>
      </c>
      <c r="AB54" s="115"/>
      <c r="AC54" s="116">
        <f t="shared" si="16"/>
        <v>0</v>
      </c>
      <c r="AD54" s="116">
        <f t="shared" si="17"/>
        <v>0</v>
      </c>
      <c r="AE54" s="116">
        <f t="shared" si="18"/>
        <v>0</v>
      </c>
      <c r="AF54" s="116">
        <f t="shared" si="19"/>
        <v>0</v>
      </c>
      <c r="AG54" s="117"/>
      <c r="AH54" s="222">
        <f t="shared" si="4"/>
        <v>0</v>
      </c>
    </row>
    <row r="55" spans="1:34" s="43" customFormat="1" ht="12" x14ac:dyDescent="0.2">
      <c r="A55" s="19" t="s">
        <v>55</v>
      </c>
      <c r="B55" s="9"/>
      <c r="C55" s="8" t="s">
        <v>56</v>
      </c>
      <c r="D55" s="8" t="s">
        <v>10</v>
      </c>
      <c r="E55" s="10">
        <f>+E56</f>
        <v>8000</v>
      </c>
      <c r="F55" s="10">
        <f>+F56</f>
        <v>10188.9</v>
      </c>
      <c r="G55" s="10">
        <f>+G56</f>
        <v>0</v>
      </c>
      <c r="H55" s="10">
        <f>+H56</f>
        <v>0</v>
      </c>
      <c r="I55" s="10">
        <f>+I56</f>
        <v>0</v>
      </c>
      <c r="J55" s="39"/>
      <c r="K55" s="256">
        <f>+K56</f>
        <v>0</v>
      </c>
      <c r="L55" s="155">
        <f>+L56</f>
        <v>10188.9</v>
      </c>
      <c r="M55" s="156">
        <v>3668.69</v>
      </c>
      <c r="N55" s="157">
        <f>458*4</f>
        <v>1832</v>
      </c>
      <c r="O55" s="158">
        <f>+M55+N55</f>
        <v>5500.6900000000005</v>
      </c>
      <c r="P55" s="109">
        <f t="shared" si="24"/>
        <v>847.10626000000002</v>
      </c>
      <c r="Q55" s="110">
        <f t="shared" si="25"/>
        <v>591.32417500000008</v>
      </c>
      <c r="R55" s="110">
        <f t="shared" si="26"/>
        <v>668.33383500000014</v>
      </c>
      <c r="S55" s="110">
        <f t="shared" si="27"/>
        <v>761.84556500000008</v>
      </c>
      <c r="T55" s="111">
        <f t="shared" si="28"/>
        <v>2632.0801650000003</v>
      </c>
      <c r="U55" s="111">
        <f t="shared" si="22"/>
        <v>5500.6900000000005</v>
      </c>
      <c r="V55" s="112">
        <f t="shared" si="29"/>
        <v>847.10626000000002</v>
      </c>
      <c r="W55" s="113">
        <f t="shared" si="12"/>
        <v>591.32417500000008</v>
      </c>
      <c r="X55" s="113">
        <f t="shared" si="13"/>
        <v>668.33383500000014</v>
      </c>
      <c r="Y55" s="113">
        <f t="shared" si="14"/>
        <v>761.84556500000008</v>
      </c>
      <c r="Z55" s="114">
        <f t="shared" si="15"/>
        <v>2632.0801650000003</v>
      </c>
      <c r="AA55" s="114">
        <f t="shared" si="3"/>
        <v>5500.6900000000005</v>
      </c>
      <c r="AB55" s="115">
        <v>5500.6900000000005</v>
      </c>
      <c r="AC55" s="116">
        <f t="shared" si="16"/>
        <v>1624.1541046325126</v>
      </c>
      <c r="AD55" s="116">
        <f t="shared" si="17"/>
        <v>1133.9756250589678</v>
      </c>
      <c r="AE55" s="116">
        <f t="shared" si="18"/>
        <v>1281.6259982073782</v>
      </c>
      <c r="AF55" s="116">
        <f t="shared" si="19"/>
        <v>1460.9342721011419</v>
      </c>
      <c r="AG55" s="117"/>
      <c r="AH55" s="222">
        <f t="shared" si="4"/>
        <v>5500.6900000000005</v>
      </c>
    </row>
    <row r="56" spans="1:34" s="43" customFormat="1" ht="14.45" hidden="1" customHeight="1" x14ac:dyDescent="0.2">
      <c r="A56" s="93"/>
      <c r="B56" s="8" t="s">
        <v>57</v>
      </c>
      <c r="C56" s="8" t="s">
        <v>56</v>
      </c>
      <c r="D56" s="8"/>
      <c r="E56" s="10">
        <v>8000</v>
      </c>
      <c r="F56" s="10">
        <v>10188.9</v>
      </c>
      <c r="G56" s="10">
        <v>0</v>
      </c>
      <c r="H56" s="10">
        <v>0</v>
      </c>
      <c r="I56" s="10">
        <v>0</v>
      </c>
      <c r="J56" s="39"/>
      <c r="K56" s="256">
        <f>+F56-G56-H56-I56-L56</f>
        <v>0</v>
      </c>
      <c r="L56" s="155">
        <v>10188.9</v>
      </c>
      <c r="M56" s="156">
        <v>3668.69</v>
      </c>
      <c r="N56" s="157"/>
      <c r="O56" s="158"/>
      <c r="P56" s="109">
        <f t="shared" si="24"/>
        <v>0</v>
      </c>
      <c r="Q56" s="110">
        <f t="shared" si="25"/>
        <v>0</v>
      </c>
      <c r="R56" s="110">
        <f t="shared" si="26"/>
        <v>0</v>
      </c>
      <c r="S56" s="110">
        <f t="shared" si="27"/>
        <v>0</v>
      </c>
      <c r="T56" s="111">
        <f t="shared" si="28"/>
        <v>0</v>
      </c>
      <c r="U56" s="111">
        <f t="shared" si="22"/>
        <v>0</v>
      </c>
      <c r="V56" s="112">
        <f t="shared" si="29"/>
        <v>0</v>
      </c>
      <c r="W56" s="113">
        <f t="shared" si="12"/>
        <v>0</v>
      </c>
      <c r="X56" s="113">
        <f t="shared" si="13"/>
        <v>0</v>
      </c>
      <c r="Y56" s="113">
        <f t="shared" si="14"/>
        <v>0</v>
      </c>
      <c r="Z56" s="114">
        <f t="shared" si="15"/>
        <v>0</v>
      </c>
      <c r="AA56" s="114">
        <f t="shared" si="3"/>
        <v>0</v>
      </c>
      <c r="AB56" s="115"/>
      <c r="AC56" s="116">
        <f t="shared" si="16"/>
        <v>0</v>
      </c>
      <c r="AD56" s="116">
        <f t="shared" si="17"/>
        <v>0</v>
      </c>
      <c r="AE56" s="116">
        <f t="shared" si="18"/>
        <v>0</v>
      </c>
      <c r="AF56" s="116">
        <f t="shared" si="19"/>
        <v>0</v>
      </c>
      <c r="AG56" s="117"/>
      <c r="AH56" s="222">
        <f t="shared" si="4"/>
        <v>0</v>
      </c>
    </row>
    <row r="57" spans="1:34" s="43" customFormat="1" ht="12" x14ac:dyDescent="0.2">
      <c r="A57" s="19" t="s">
        <v>58</v>
      </c>
      <c r="B57" s="9"/>
      <c r="C57" s="8" t="s">
        <v>59</v>
      </c>
      <c r="D57" s="8" t="s">
        <v>10</v>
      </c>
      <c r="E57" s="10">
        <f>+E58</f>
        <v>4000</v>
      </c>
      <c r="F57" s="10">
        <f>+F58</f>
        <v>4000</v>
      </c>
      <c r="G57" s="10">
        <f>+G58</f>
        <v>51.24</v>
      </c>
      <c r="H57" s="10">
        <f>+H58</f>
        <v>0</v>
      </c>
      <c r="I57" s="10">
        <f>+I58</f>
        <v>0</v>
      </c>
      <c r="J57" s="39"/>
      <c r="K57" s="256">
        <f>+K58</f>
        <v>2945.5600000000004</v>
      </c>
      <c r="L57" s="155">
        <f>+L58</f>
        <v>1003.2</v>
      </c>
      <c r="M57" s="156">
        <v>622.20000000000005</v>
      </c>
      <c r="N57" s="157">
        <f>80*4</f>
        <v>320</v>
      </c>
      <c r="O57" s="158">
        <f>+M57+N57</f>
        <v>942.2</v>
      </c>
      <c r="P57" s="109">
        <f t="shared" si="24"/>
        <v>145.09880000000001</v>
      </c>
      <c r="Q57" s="110">
        <f t="shared" si="25"/>
        <v>101.28649999999999</v>
      </c>
      <c r="R57" s="110">
        <f t="shared" si="26"/>
        <v>114.47730000000001</v>
      </c>
      <c r="S57" s="110">
        <f t="shared" si="27"/>
        <v>130.49470000000002</v>
      </c>
      <c r="T57" s="111">
        <f t="shared" si="28"/>
        <v>450.84270000000004</v>
      </c>
      <c r="U57" s="111">
        <f t="shared" si="22"/>
        <v>942.2</v>
      </c>
      <c r="V57" s="112">
        <f t="shared" si="29"/>
        <v>145.09880000000001</v>
      </c>
      <c r="W57" s="113">
        <f t="shared" si="12"/>
        <v>101.28649999999999</v>
      </c>
      <c r="X57" s="113">
        <f t="shared" si="13"/>
        <v>114.47730000000001</v>
      </c>
      <c r="Y57" s="113">
        <f t="shared" si="14"/>
        <v>130.49470000000002</v>
      </c>
      <c r="Z57" s="114">
        <f t="shared" si="15"/>
        <v>450.84270000000004</v>
      </c>
      <c r="AA57" s="114">
        <f t="shared" si="3"/>
        <v>942.2</v>
      </c>
      <c r="AB57" s="115">
        <v>942.2</v>
      </c>
      <c r="AC57" s="116">
        <f t="shared" si="16"/>
        <v>278.19746202471936</v>
      </c>
      <c r="AD57" s="116">
        <f t="shared" si="17"/>
        <v>194.23596565713746</v>
      </c>
      <c r="AE57" s="116">
        <f t="shared" si="18"/>
        <v>219.52664402302105</v>
      </c>
      <c r="AF57" s="116">
        <f t="shared" si="19"/>
        <v>250.23992829512224</v>
      </c>
      <c r="AG57" s="117"/>
      <c r="AH57" s="222">
        <f t="shared" si="4"/>
        <v>942.20000000000016</v>
      </c>
    </row>
    <row r="58" spans="1:34" s="43" customFormat="1" ht="14.45" hidden="1" customHeight="1" x14ac:dyDescent="0.2">
      <c r="A58" s="93"/>
      <c r="B58" s="8" t="s">
        <v>60</v>
      </c>
      <c r="C58" s="8" t="s">
        <v>61</v>
      </c>
      <c r="D58" s="8"/>
      <c r="E58" s="10">
        <v>4000</v>
      </c>
      <c r="F58" s="10">
        <v>4000</v>
      </c>
      <c r="G58" s="10">
        <v>51.24</v>
      </c>
      <c r="H58" s="10">
        <v>0</v>
      </c>
      <c r="I58" s="10">
        <v>0</v>
      </c>
      <c r="J58" s="39"/>
      <c r="K58" s="256">
        <f>+F58-G58-H58-I58-L58</f>
        <v>2945.5600000000004</v>
      </c>
      <c r="L58" s="155">
        <v>1003.2</v>
      </c>
      <c r="M58" s="156">
        <v>622.20000000000005</v>
      </c>
      <c r="N58" s="157"/>
      <c r="O58" s="158"/>
      <c r="P58" s="109">
        <f t="shared" si="24"/>
        <v>0</v>
      </c>
      <c r="Q58" s="110">
        <f t="shared" si="25"/>
        <v>0</v>
      </c>
      <c r="R58" s="110">
        <f t="shared" si="26"/>
        <v>0</v>
      </c>
      <c r="S58" s="110">
        <f t="shared" si="27"/>
        <v>0</v>
      </c>
      <c r="T58" s="111">
        <f t="shared" si="28"/>
        <v>0</v>
      </c>
      <c r="U58" s="111">
        <f t="shared" si="22"/>
        <v>0</v>
      </c>
      <c r="V58" s="112">
        <f t="shared" si="29"/>
        <v>0</v>
      </c>
      <c r="W58" s="113">
        <f t="shared" si="12"/>
        <v>0</v>
      </c>
      <c r="X58" s="113">
        <f t="shared" si="13"/>
        <v>0</v>
      </c>
      <c r="Y58" s="113">
        <f t="shared" si="14"/>
        <v>0</v>
      </c>
      <c r="Z58" s="114">
        <f t="shared" si="15"/>
        <v>0</v>
      </c>
      <c r="AA58" s="114">
        <f t="shared" si="3"/>
        <v>0</v>
      </c>
      <c r="AB58" s="115"/>
      <c r="AC58" s="116">
        <f t="shared" si="16"/>
        <v>0</v>
      </c>
      <c r="AD58" s="116">
        <f t="shared" si="17"/>
        <v>0</v>
      </c>
      <c r="AE58" s="116">
        <f t="shared" si="18"/>
        <v>0</v>
      </c>
      <c r="AF58" s="116">
        <f t="shared" si="19"/>
        <v>0</v>
      </c>
      <c r="AG58" s="117"/>
      <c r="AH58" s="222">
        <f t="shared" si="4"/>
        <v>0</v>
      </c>
    </row>
    <row r="59" spans="1:34" s="43" customFormat="1" ht="12" x14ac:dyDescent="0.2">
      <c r="A59" s="19" t="s">
        <v>62</v>
      </c>
      <c r="B59" s="9"/>
      <c r="C59" s="8" t="s">
        <v>63</v>
      </c>
      <c r="D59" s="8" t="s">
        <v>10</v>
      </c>
      <c r="E59" s="10">
        <f>+E60</f>
        <v>3500</v>
      </c>
      <c r="F59" s="10">
        <f>+F60</f>
        <v>3500</v>
      </c>
      <c r="G59" s="10">
        <f>+G60</f>
        <v>0</v>
      </c>
      <c r="H59" s="10">
        <f>+H60</f>
        <v>0</v>
      </c>
      <c r="I59" s="10">
        <f>+I60</f>
        <v>0</v>
      </c>
      <c r="J59" s="39"/>
      <c r="K59" s="256">
        <f>+K60</f>
        <v>2070.35</v>
      </c>
      <c r="L59" s="155">
        <f>+L60</f>
        <v>1429.65</v>
      </c>
      <c r="M59" s="156">
        <v>2385.33</v>
      </c>
      <c r="N59" s="157">
        <f>653+400</f>
        <v>1053</v>
      </c>
      <c r="O59" s="158">
        <f t="shared" ref="O59:O86" si="30">+M59+N59</f>
        <v>3438.33</v>
      </c>
      <c r="P59" s="109">
        <f t="shared" si="24"/>
        <v>529.50282000000004</v>
      </c>
      <c r="Q59" s="110">
        <f t="shared" si="25"/>
        <v>369.620475</v>
      </c>
      <c r="R59" s="110">
        <f t="shared" si="26"/>
        <v>417.75709499999999</v>
      </c>
      <c r="S59" s="110">
        <f t="shared" si="27"/>
        <v>476.20870499999995</v>
      </c>
      <c r="T59" s="111">
        <f t="shared" si="28"/>
        <v>1645.2409049999999</v>
      </c>
      <c r="U59" s="111">
        <f t="shared" si="22"/>
        <v>3438.33</v>
      </c>
      <c r="V59" s="112">
        <f t="shared" si="29"/>
        <v>529.50282000000004</v>
      </c>
      <c r="W59" s="113">
        <f t="shared" si="12"/>
        <v>369.620475</v>
      </c>
      <c r="X59" s="113">
        <f t="shared" si="13"/>
        <v>417.75709499999999</v>
      </c>
      <c r="Y59" s="113">
        <f t="shared" si="14"/>
        <v>476.20870499999995</v>
      </c>
      <c r="Z59" s="114">
        <f t="shared" si="15"/>
        <v>1645.2409049999999</v>
      </c>
      <c r="AA59" s="114">
        <f t="shared" si="3"/>
        <v>3438.33</v>
      </c>
      <c r="AB59" s="115">
        <v>3438.33</v>
      </c>
      <c r="AC59" s="116">
        <f t="shared" si="16"/>
        <v>1015.2140517973394</v>
      </c>
      <c r="AD59" s="116">
        <f t="shared" si="17"/>
        <v>708.81696858194164</v>
      </c>
      <c r="AE59" s="116">
        <f t="shared" si="18"/>
        <v>801.10915510897246</v>
      </c>
      <c r="AF59" s="116">
        <f t="shared" si="19"/>
        <v>913.18982451174645</v>
      </c>
      <c r="AG59" s="117"/>
      <c r="AH59" s="222">
        <f t="shared" si="4"/>
        <v>3438.33</v>
      </c>
    </row>
    <row r="60" spans="1:34" s="43" customFormat="1" ht="14.45" hidden="1" customHeight="1" x14ac:dyDescent="0.2">
      <c r="A60" s="93"/>
      <c r="B60" s="8" t="s">
        <v>64</v>
      </c>
      <c r="C60" s="8" t="s">
        <v>65</v>
      </c>
      <c r="D60" s="8"/>
      <c r="E60" s="10">
        <v>3500</v>
      </c>
      <c r="F60" s="10">
        <v>3500</v>
      </c>
      <c r="G60" s="10">
        <v>0</v>
      </c>
      <c r="H60" s="10">
        <v>0</v>
      </c>
      <c r="I60" s="10">
        <v>0</v>
      </c>
      <c r="J60" s="39"/>
      <c r="K60" s="256">
        <f>+F60-G60-H60-I60-L60</f>
        <v>2070.35</v>
      </c>
      <c r="L60" s="155">
        <v>1429.65</v>
      </c>
      <c r="M60" s="156">
        <v>2385.33</v>
      </c>
      <c r="N60" s="157"/>
      <c r="O60" s="158">
        <f t="shared" si="30"/>
        <v>2385.33</v>
      </c>
      <c r="P60" s="109">
        <f t="shared" si="24"/>
        <v>367.34082000000001</v>
      </c>
      <c r="Q60" s="110">
        <f t="shared" si="25"/>
        <v>256.42297500000001</v>
      </c>
      <c r="R60" s="110">
        <f t="shared" si="26"/>
        <v>289.81759499999998</v>
      </c>
      <c r="S60" s="110">
        <f t="shared" si="27"/>
        <v>330.36820499999999</v>
      </c>
      <c r="T60" s="111">
        <f t="shared" si="28"/>
        <v>1141.3804050000001</v>
      </c>
      <c r="U60" s="111">
        <f t="shared" si="22"/>
        <v>2385.33</v>
      </c>
      <c r="V60" s="112">
        <f t="shared" si="29"/>
        <v>367.34082000000001</v>
      </c>
      <c r="W60" s="113">
        <f t="shared" si="12"/>
        <v>256.42297500000001</v>
      </c>
      <c r="X60" s="113">
        <f t="shared" si="13"/>
        <v>289.81759499999998</v>
      </c>
      <c r="Y60" s="113">
        <f t="shared" si="14"/>
        <v>330.36820499999999</v>
      </c>
      <c r="Z60" s="114">
        <f t="shared" si="15"/>
        <v>1141.3804050000001</v>
      </c>
      <c r="AA60" s="114">
        <f t="shared" si="3"/>
        <v>2385.33</v>
      </c>
      <c r="AB60" s="115">
        <v>2385.33</v>
      </c>
      <c r="AC60" s="116">
        <f t="shared" si="16"/>
        <v>704.30137135578832</v>
      </c>
      <c r="AD60" s="116">
        <f t="shared" si="17"/>
        <v>491.73941409566936</v>
      </c>
      <c r="AE60" s="116">
        <f t="shared" si="18"/>
        <v>555.76681149165017</v>
      </c>
      <c r="AF60" s="116">
        <f t="shared" si="19"/>
        <v>633.52240305689224</v>
      </c>
      <c r="AG60" s="117"/>
      <c r="AH60" s="222">
        <f t="shared" si="4"/>
        <v>2385.33</v>
      </c>
    </row>
    <row r="61" spans="1:34" s="43" customFormat="1" ht="12" x14ac:dyDescent="0.2">
      <c r="A61" s="19" t="s">
        <v>66</v>
      </c>
      <c r="B61" s="9"/>
      <c r="C61" s="8" t="s">
        <v>67</v>
      </c>
      <c r="D61" s="8" t="s">
        <v>10</v>
      </c>
      <c r="E61" s="10">
        <f>+E62</f>
        <v>3700</v>
      </c>
      <c r="F61" s="10">
        <f>+F62</f>
        <v>3700</v>
      </c>
      <c r="G61" s="10">
        <f>+G62</f>
        <v>0</v>
      </c>
      <c r="H61" s="10">
        <f>+H62</f>
        <v>0</v>
      </c>
      <c r="I61" s="10">
        <f>+I62</f>
        <v>0</v>
      </c>
      <c r="J61" s="39"/>
      <c r="K61" s="256">
        <f>+K62</f>
        <v>1355.1100000000001</v>
      </c>
      <c r="L61" s="155">
        <f>+L62</f>
        <v>2344.89</v>
      </c>
      <c r="M61" s="156">
        <v>1700.9</v>
      </c>
      <c r="N61" s="157">
        <f>215*4</f>
        <v>860</v>
      </c>
      <c r="O61" s="158">
        <f t="shared" si="30"/>
        <v>2560.9</v>
      </c>
      <c r="P61" s="109">
        <f t="shared" si="24"/>
        <v>394.37860000000001</v>
      </c>
      <c r="Q61" s="110">
        <f t="shared" si="25"/>
        <v>275.29674999999997</v>
      </c>
      <c r="R61" s="110">
        <f t="shared" si="26"/>
        <v>311.14935000000003</v>
      </c>
      <c r="S61" s="110">
        <f t="shared" si="27"/>
        <v>354.68465000000003</v>
      </c>
      <c r="T61" s="111">
        <f t="shared" si="28"/>
        <v>1225.3906500000001</v>
      </c>
      <c r="U61" s="111">
        <f t="shared" si="22"/>
        <v>2560.9</v>
      </c>
      <c r="V61" s="112">
        <f t="shared" si="29"/>
        <v>394.37860000000001</v>
      </c>
      <c r="W61" s="113">
        <f t="shared" si="12"/>
        <v>275.29674999999997</v>
      </c>
      <c r="X61" s="113">
        <f t="shared" si="13"/>
        <v>311.14935000000003</v>
      </c>
      <c r="Y61" s="113">
        <f t="shared" si="14"/>
        <v>354.68465000000003</v>
      </c>
      <c r="Z61" s="114">
        <f t="shared" si="15"/>
        <v>1225.3906500000001</v>
      </c>
      <c r="AA61" s="114">
        <f t="shared" si="3"/>
        <v>2560.9</v>
      </c>
      <c r="AB61" s="115">
        <v>2560.9</v>
      </c>
      <c r="AC61" s="116">
        <f t="shared" si="16"/>
        <v>756.14081988866883</v>
      </c>
      <c r="AD61" s="116">
        <f t="shared" si="17"/>
        <v>527.93343711670911</v>
      </c>
      <c r="AE61" s="116">
        <f t="shared" si="18"/>
        <v>596.67351165204263</v>
      </c>
      <c r="AF61" s="116">
        <f t="shared" si="19"/>
        <v>680.15223134257963</v>
      </c>
      <c r="AG61" s="117"/>
      <c r="AH61" s="222">
        <f t="shared" si="4"/>
        <v>2560.9000000000005</v>
      </c>
    </row>
    <row r="62" spans="1:34" s="43" customFormat="1" ht="14.45" hidden="1" customHeight="1" x14ac:dyDescent="0.2">
      <c r="A62" s="93"/>
      <c r="B62" s="8" t="s">
        <v>68</v>
      </c>
      <c r="C62" s="8" t="s">
        <v>69</v>
      </c>
      <c r="D62" s="8"/>
      <c r="E62" s="10">
        <v>3700</v>
      </c>
      <c r="F62" s="10">
        <v>3700</v>
      </c>
      <c r="G62" s="10">
        <v>0</v>
      </c>
      <c r="H62" s="10">
        <v>0</v>
      </c>
      <c r="I62" s="10">
        <v>0</v>
      </c>
      <c r="J62" s="39"/>
      <c r="K62" s="256">
        <f>+F62-G62-H62-I62-L62</f>
        <v>1355.1100000000001</v>
      </c>
      <c r="L62" s="155">
        <v>2344.89</v>
      </c>
      <c r="M62" s="156">
        <v>1700.9</v>
      </c>
      <c r="N62" s="157"/>
      <c r="O62" s="158">
        <f t="shared" si="30"/>
        <v>1700.9</v>
      </c>
      <c r="P62" s="109">
        <f t="shared" si="24"/>
        <v>261.93860000000001</v>
      </c>
      <c r="Q62" s="110">
        <f t="shared" si="25"/>
        <v>182.84674999999999</v>
      </c>
      <c r="R62" s="110">
        <f t="shared" si="26"/>
        <v>206.65935000000002</v>
      </c>
      <c r="S62" s="110">
        <f t="shared" si="27"/>
        <v>235.57464999999999</v>
      </c>
      <c r="T62" s="111">
        <f t="shared" si="28"/>
        <v>813.88065000000006</v>
      </c>
      <c r="U62" s="111">
        <f t="shared" si="22"/>
        <v>1700.9</v>
      </c>
      <c r="V62" s="112">
        <f t="shared" si="29"/>
        <v>261.93860000000001</v>
      </c>
      <c r="W62" s="113">
        <f t="shared" si="12"/>
        <v>182.84674999999999</v>
      </c>
      <c r="X62" s="113">
        <f t="shared" si="13"/>
        <v>206.65935000000002</v>
      </c>
      <c r="Y62" s="113">
        <f t="shared" si="14"/>
        <v>235.57464999999999</v>
      </c>
      <c r="Z62" s="114">
        <f t="shared" si="15"/>
        <v>813.88065000000006</v>
      </c>
      <c r="AA62" s="114">
        <f t="shared" si="3"/>
        <v>1700.9</v>
      </c>
      <c r="AB62" s="115">
        <v>1700.9</v>
      </c>
      <c r="AC62" s="116">
        <f t="shared" si="16"/>
        <v>502.21403434286259</v>
      </c>
      <c r="AD62" s="116">
        <f t="shared" si="17"/>
        <v>350.64312671006701</v>
      </c>
      <c r="AE62" s="116">
        <f t="shared" si="18"/>
        <v>396.29894801396358</v>
      </c>
      <c r="AF62" s="116">
        <f t="shared" si="19"/>
        <v>451.74389093310697</v>
      </c>
      <c r="AG62" s="117"/>
      <c r="AH62" s="222">
        <f t="shared" si="4"/>
        <v>1700.9</v>
      </c>
    </row>
    <row r="63" spans="1:34" s="43" customFormat="1" ht="12" x14ac:dyDescent="0.2">
      <c r="A63" s="19" t="s">
        <v>70</v>
      </c>
      <c r="B63" s="9"/>
      <c r="C63" s="8" t="s">
        <v>71</v>
      </c>
      <c r="D63" s="8" t="s">
        <v>10</v>
      </c>
      <c r="E63" s="10">
        <f>+E64</f>
        <v>1500</v>
      </c>
      <c r="F63" s="10">
        <f>+F64</f>
        <v>1500</v>
      </c>
      <c r="G63" s="10">
        <f>+G64</f>
        <v>0</v>
      </c>
      <c r="H63" s="10">
        <f>+H64</f>
        <v>0</v>
      </c>
      <c r="I63" s="10">
        <f>+I64</f>
        <v>0</v>
      </c>
      <c r="J63" s="39"/>
      <c r="K63" s="256">
        <f>+K64</f>
        <v>663.11</v>
      </c>
      <c r="L63" s="155">
        <f>+L64</f>
        <v>836.89</v>
      </c>
      <c r="M63" s="156">
        <v>662.59</v>
      </c>
      <c r="N63" s="157">
        <f>85*4</f>
        <v>340</v>
      </c>
      <c r="O63" s="158">
        <f t="shared" si="30"/>
        <v>1002.59</v>
      </c>
      <c r="P63" s="109">
        <f t="shared" si="24"/>
        <v>154.39886000000001</v>
      </c>
      <c r="Q63" s="110">
        <f t="shared" si="25"/>
        <v>107.77842500000001</v>
      </c>
      <c r="R63" s="110">
        <f t="shared" si="26"/>
        <v>121.81468500000001</v>
      </c>
      <c r="S63" s="110">
        <f t="shared" si="27"/>
        <v>138.85871499999999</v>
      </c>
      <c r="T63" s="111">
        <f t="shared" si="28"/>
        <v>479.73931500000003</v>
      </c>
      <c r="U63" s="111">
        <f t="shared" si="22"/>
        <v>1002.59</v>
      </c>
      <c r="V63" s="112">
        <f t="shared" si="29"/>
        <v>154.39886000000001</v>
      </c>
      <c r="W63" s="113">
        <f t="shared" si="12"/>
        <v>107.77842500000001</v>
      </c>
      <c r="X63" s="113">
        <f t="shared" si="13"/>
        <v>121.81468500000001</v>
      </c>
      <c r="Y63" s="113">
        <f t="shared" si="14"/>
        <v>138.85871499999999</v>
      </c>
      <c r="Z63" s="114">
        <f t="shared" si="15"/>
        <v>479.73931500000003</v>
      </c>
      <c r="AA63" s="114">
        <f t="shared" si="3"/>
        <v>1002.59</v>
      </c>
      <c r="AB63" s="115">
        <v>1002.59</v>
      </c>
      <c r="AC63" s="116">
        <f t="shared" si="16"/>
        <v>296.02843711670914</v>
      </c>
      <c r="AD63" s="116">
        <f t="shared" si="17"/>
        <v>206.68545617511086</v>
      </c>
      <c r="AE63" s="116">
        <f t="shared" si="18"/>
        <v>233.59713227662988</v>
      </c>
      <c r="AF63" s="116">
        <f t="shared" si="19"/>
        <v>266.27897443155018</v>
      </c>
      <c r="AG63" s="117"/>
      <c r="AH63" s="222">
        <f t="shared" si="4"/>
        <v>1002.59</v>
      </c>
    </row>
    <row r="64" spans="1:34" s="43" customFormat="1" ht="14.45" hidden="1" customHeight="1" x14ac:dyDescent="0.2">
      <c r="A64" s="93"/>
      <c r="B64" s="8" t="s">
        <v>72</v>
      </c>
      <c r="C64" s="8" t="s">
        <v>71</v>
      </c>
      <c r="D64" s="8"/>
      <c r="E64" s="10">
        <v>1500</v>
      </c>
      <c r="F64" s="10">
        <v>1500</v>
      </c>
      <c r="G64" s="10">
        <v>0</v>
      </c>
      <c r="H64" s="10">
        <v>0</v>
      </c>
      <c r="I64" s="10">
        <v>0</v>
      </c>
      <c r="J64" s="39"/>
      <c r="K64" s="256">
        <f>+F64-G64-H64-I64-L64</f>
        <v>663.11</v>
      </c>
      <c r="L64" s="155">
        <v>836.89</v>
      </c>
      <c r="M64" s="156">
        <v>662.59</v>
      </c>
      <c r="N64" s="157"/>
      <c r="O64" s="158">
        <f t="shared" si="30"/>
        <v>662.59</v>
      </c>
      <c r="P64" s="109">
        <f t="shared" si="24"/>
        <v>102.03886</v>
      </c>
      <c r="Q64" s="110">
        <f t="shared" si="25"/>
        <v>71.228425000000001</v>
      </c>
      <c r="R64" s="110">
        <f t="shared" si="26"/>
        <v>80.504685000000009</v>
      </c>
      <c r="S64" s="110">
        <f t="shared" si="27"/>
        <v>91.768715000000014</v>
      </c>
      <c r="T64" s="111">
        <f t="shared" si="28"/>
        <v>317.04931500000004</v>
      </c>
      <c r="U64" s="111">
        <f t="shared" si="22"/>
        <v>662.59000000000015</v>
      </c>
      <c r="V64" s="112">
        <f t="shared" si="29"/>
        <v>102.03886</v>
      </c>
      <c r="W64" s="113">
        <f t="shared" si="12"/>
        <v>71.228425000000001</v>
      </c>
      <c r="X64" s="113">
        <f t="shared" si="13"/>
        <v>80.504685000000009</v>
      </c>
      <c r="Y64" s="113">
        <f t="shared" si="14"/>
        <v>91.768715000000014</v>
      </c>
      <c r="Z64" s="114">
        <f t="shared" si="15"/>
        <v>317.04931500000004</v>
      </c>
      <c r="AA64" s="114">
        <f t="shared" si="3"/>
        <v>662.59000000000015</v>
      </c>
      <c r="AB64" s="115">
        <v>662.59</v>
      </c>
      <c r="AC64" s="116">
        <f t="shared" si="16"/>
        <v>195.63877771487878</v>
      </c>
      <c r="AD64" s="116">
        <f t="shared" si="17"/>
        <v>136.59393810736861</v>
      </c>
      <c r="AE64" s="116">
        <f t="shared" si="18"/>
        <v>154.37928153599398</v>
      </c>
      <c r="AF64" s="116">
        <f t="shared" si="19"/>
        <v>175.97800264175868</v>
      </c>
      <c r="AG64" s="117"/>
      <c r="AH64" s="222">
        <f t="shared" si="4"/>
        <v>662.59000000000015</v>
      </c>
    </row>
    <row r="65" spans="1:34" s="43" customFormat="1" ht="12" x14ac:dyDescent="0.2">
      <c r="A65" s="19" t="s">
        <v>73</v>
      </c>
      <c r="B65" s="9"/>
      <c r="C65" s="8" t="s">
        <v>74</v>
      </c>
      <c r="D65" s="8" t="s">
        <v>10</v>
      </c>
      <c r="E65" s="10">
        <f>+E66</f>
        <v>5500</v>
      </c>
      <c r="F65" s="10">
        <f>+F66</f>
        <v>5500</v>
      </c>
      <c r="G65" s="10">
        <f>+G66</f>
        <v>0</v>
      </c>
      <c r="H65" s="10">
        <f>+H66</f>
        <v>0</v>
      </c>
      <c r="I65" s="10">
        <f>+I66</f>
        <v>0</v>
      </c>
      <c r="J65" s="39"/>
      <c r="K65" s="256">
        <f>+K66</f>
        <v>632.90999999999985</v>
      </c>
      <c r="L65" s="155">
        <f>+L66</f>
        <v>4867.09</v>
      </c>
      <c r="M65" s="156">
        <v>3583.44</v>
      </c>
      <c r="N65" s="159">
        <f>450*4</f>
        <v>1800</v>
      </c>
      <c r="O65" s="160">
        <f t="shared" si="30"/>
        <v>5383.4400000000005</v>
      </c>
      <c r="P65" s="109">
        <f t="shared" si="24"/>
        <v>829.04976000000011</v>
      </c>
      <c r="Q65" s="110">
        <f t="shared" si="25"/>
        <v>578.71980000000008</v>
      </c>
      <c r="R65" s="110">
        <f t="shared" si="26"/>
        <v>654.08796000000007</v>
      </c>
      <c r="S65" s="110">
        <f t="shared" si="27"/>
        <v>745.60644000000002</v>
      </c>
      <c r="T65" s="111">
        <f t="shared" si="28"/>
        <v>2575.97604</v>
      </c>
      <c r="U65" s="111">
        <f t="shared" si="22"/>
        <v>5383.4400000000005</v>
      </c>
      <c r="V65" s="112">
        <f t="shared" si="29"/>
        <v>829.04976000000011</v>
      </c>
      <c r="W65" s="113">
        <f t="shared" si="12"/>
        <v>578.71980000000008</v>
      </c>
      <c r="X65" s="113">
        <f t="shared" si="13"/>
        <v>654.08796000000007</v>
      </c>
      <c r="Y65" s="113">
        <f t="shared" si="14"/>
        <v>745.60644000000002</v>
      </c>
      <c r="Z65" s="114">
        <f t="shared" si="15"/>
        <v>2575.97604</v>
      </c>
      <c r="AA65" s="114">
        <f t="shared" si="3"/>
        <v>5383.4400000000005</v>
      </c>
      <c r="AB65" s="115">
        <f>5383.44/4*3</f>
        <v>4037.58</v>
      </c>
      <c r="AC65" s="116">
        <f t="shared" si="16"/>
        <v>1192.1508264930653</v>
      </c>
      <c r="AD65" s="116">
        <f t="shared" si="17"/>
        <v>832.35326917633734</v>
      </c>
      <c r="AE65" s="116">
        <f t="shared" si="18"/>
        <v>940.73061703934331</v>
      </c>
      <c r="AF65" s="116">
        <f t="shared" si="19"/>
        <v>1072.345287291254</v>
      </c>
      <c r="AG65" s="117"/>
      <c r="AH65" s="222">
        <f t="shared" si="4"/>
        <v>4037.58</v>
      </c>
    </row>
    <row r="66" spans="1:34" s="43" customFormat="1" ht="14.45" hidden="1" customHeight="1" x14ac:dyDescent="0.2">
      <c r="A66" s="93"/>
      <c r="B66" s="8" t="s">
        <v>75</v>
      </c>
      <c r="C66" s="8" t="s">
        <v>74</v>
      </c>
      <c r="D66" s="8"/>
      <c r="E66" s="10">
        <v>5500</v>
      </c>
      <c r="F66" s="10">
        <v>5500</v>
      </c>
      <c r="G66" s="10">
        <v>0</v>
      </c>
      <c r="H66" s="10">
        <v>0</v>
      </c>
      <c r="I66" s="10">
        <v>0</v>
      </c>
      <c r="J66" s="39"/>
      <c r="K66" s="256">
        <f>+F66-G66-H66-I66-L66</f>
        <v>632.90999999999985</v>
      </c>
      <c r="L66" s="155">
        <v>4867.09</v>
      </c>
      <c r="M66" s="156">
        <v>3583.44</v>
      </c>
      <c r="N66" s="157"/>
      <c r="O66" s="158">
        <f t="shared" si="30"/>
        <v>3583.44</v>
      </c>
      <c r="P66" s="109">
        <f t="shared" si="24"/>
        <v>551.84976000000006</v>
      </c>
      <c r="Q66" s="110">
        <f t="shared" si="25"/>
        <v>385.21980000000002</v>
      </c>
      <c r="R66" s="110">
        <f t="shared" si="26"/>
        <v>435.38796000000002</v>
      </c>
      <c r="S66" s="110">
        <f t="shared" si="27"/>
        <v>496.30644000000001</v>
      </c>
      <c r="T66" s="111">
        <f t="shared" si="28"/>
        <v>1714.6760400000003</v>
      </c>
      <c r="U66" s="111">
        <f t="shared" si="22"/>
        <v>3583.4400000000005</v>
      </c>
      <c r="V66" s="112">
        <f t="shared" si="29"/>
        <v>551.84976000000006</v>
      </c>
      <c r="W66" s="113">
        <f t="shared" si="12"/>
        <v>385.21980000000002</v>
      </c>
      <c r="X66" s="113">
        <f t="shared" si="13"/>
        <v>435.38796000000002</v>
      </c>
      <c r="Y66" s="113">
        <f t="shared" si="14"/>
        <v>496.30644000000001</v>
      </c>
      <c r="Z66" s="114">
        <f t="shared" si="15"/>
        <v>1714.6760400000003</v>
      </c>
      <c r="AA66" s="114">
        <f t="shared" si="3"/>
        <v>3583.4400000000005</v>
      </c>
      <c r="AB66" s="115">
        <v>3583.44</v>
      </c>
      <c r="AC66" s="116">
        <f t="shared" si="16"/>
        <v>1058.0597679026325</v>
      </c>
      <c r="AD66" s="116">
        <f t="shared" si="17"/>
        <v>738.73161619020652</v>
      </c>
      <c r="AE66" s="116">
        <f t="shared" si="18"/>
        <v>834.91886781771871</v>
      </c>
      <c r="AF66" s="116">
        <f t="shared" si="19"/>
        <v>951.72974808944264</v>
      </c>
      <c r="AG66" s="117"/>
      <c r="AH66" s="222">
        <f t="shared" si="4"/>
        <v>3583.4400000000005</v>
      </c>
    </row>
    <row r="67" spans="1:34" s="43" customFormat="1" ht="12" x14ac:dyDescent="0.2">
      <c r="A67" s="19" t="s">
        <v>76</v>
      </c>
      <c r="B67" s="9"/>
      <c r="C67" s="8" t="s">
        <v>77</v>
      </c>
      <c r="D67" s="8" t="s">
        <v>10</v>
      </c>
      <c r="E67" s="10">
        <f>+E68</f>
        <v>4500</v>
      </c>
      <c r="F67" s="10">
        <f>+F68</f>
        <v>4500</v>
      </c>
      <c r="G67" s="10">
        <f>+G68</f>
        <v>0</v>
      </c>
      <c r="H67" s="10">
        <f>+H68</f>
        <v>0</v>
      </c>
      <c r="I67" s="10">
        <f>+I68</f>
        <v>0</v>
      </c>
      <c r="J67" s="39"/>
      <c r="K67" s="256">
        <f>+K68</f>
        <v>1609.08</v>
      </c>
      <c r="L67" s="155">
        <f>+L68</f>
        <v>2890.92</v>
      </c>
      <c r="M67" s="156">
        <v>626.84</v>
      </c>
      <c r="N67" s="157">
        <v>500</v>
      </c>
      <c r="O67" s="158">
        <f t="shared" si="30"/>
        <v>1126.8400000000001</v>
      </c>
      <c r="P67" s="109">
        <f t="shared" si="24"/>
        <v>173.53336000000002</v>
      </c>
      <c r="Q67" s="110">
        <f t="shared" si="25"/>
        <v>121.13530000000003</v>
      </c>
      <c r="R67" s="110">
        <f t="shared" si="26"/>
        <v>136.91106000000002</v>
      </c>
      <c r="S67" s="110">
        <f t="shared" si="27"/>
        <v>156.06734000000003</v>
      </c>
      <c r="T67" s="111">
        <f t="shared" si="28"/>
        <v>539.19294000000014</v>
      </c>
      <c r="U67" s="111">
        <f t="shared" si="22"/>
        <v>1126.8400000000001</v>
      </c>
      <c r="V67" s="112">
        <f t="shared" si="29"/>
        <v>173.53336000000002</v>
      </c>
      <c r="W67" s="113">
        <f t="shared" si="12"/>
        <v>121.13530000000003</v>
      </c>
      <c r="X67" s="113">
        <f t="shared" si="13"/>
        <v>136.91106000000002</v>
      </c>
      <c r="Y67" s="113">
        <f t="shared" si="14"/>
        <v>156.06734000000003</v>
      </c>
      <c r="Z67" s="114">
        <f t="shared" si="15"/>
        <v>539.19294000000014</v>
      </c>
      <c r="AA67" s="114">
        <f t="shared" si="3"/>
        <v>1126.8400000000001</v>
      </c>
      <c r="AB67" s="115">
        <v>1126.8400000000001</v>
      </c>
      <c r="AC67" s="116">
        <f t="shared" si="16"/>
        <v>332.71495235399567</v>
      </c>
      <c r="AD67" s="116">
        <f t="shared" si="17"/>
        <v>232.29978299839607</v>
      </c>
      <c r="AE67" s="116">
        <f t="shared" si="18"/>
        <v>262.54659684875935</v>
      </c>
      <c r="AF67" s="116">
        <f t="shared" si="19"/>
        <v>299.27866779884903</v>
      </c>
      <c r="AG67" s="117"/>
      <c r="AH67" s="222">
        <f t="shared" si="4"/>
        <v>1126.8400000000001</v>
      </c>
    </row>
    <row r="68" spans="1:34" s="43" customFormat="1" ht="14.45" hidden="1" customHeight="1" x14ac:dyDescent="0.2">
      <c r="A68" s="93"/>
      <c r="B68" s="8" t="s">
        <v>78</v>
      </c>
      <c r="C68" s="8" t="s">
        <v>77</v>
      </c>
      <c r="D68" s="8"/>
      <c r="E68" s="10">
        <v>4500</v>
      </c>
      <c r="F68" s="10">
        <v>4500</v>
      </c>
      <c r="G68" s="10">
        <v>0</v>
      </c>
      <c r="H68" s="10">
        <v>0</v>
      </c>
      <c r="I68" s="10">
        <v>0</v>
      </c>
      <c r="J68" s="39"/>
      <c r="K68" s="256">
        <f>+F68-G68-H68-I68-L68</f>
        <v>1609.08</v>
      </c>
      <c r="L68" s="155">
        <v>2890.92</v>
      </c>
      <c r="M68" s="156">
        <v>626.84</v>
      </c>
      <c r="N68" s="157"/>
      <c r="O68" s="158">
        <f t="shared" si="30"/>
        <v>626.84</v>
      </c>
      <c r="P68" s="109">
        <f t="shared" si="24"/>
        <v>96.533360000000016</v>
      </c>
      <c r="Q68" s="110">
        <f t="shared" si="25"/>
        <v>67.385300000000001</v>
      </c>
      <c r="R68" s="110">
        <f t="shared" si="26"/>
        <v>76.161060000000006</v>
      </c>
      <c r="S68" s="110">
        <f t="shared" si="27"/>
        <v>86.817340000000002</v>
      </c>
      <c r="T68" s="111">
        <f t="shared" si="28"/>
        <v>299.94294000000002</v>
      </c>
      <c r="U68" s="111">
        <f t="shared" si="22"/>
        <v>626.84</v>
      </c>
      <c r="V68" s="112">
        <f t="shared" si="29"/>
        <v>96.533360000000016</v>
      </c>
      <c r="W68" s="113">
        <f t="shared" si="12"/>
        <v>67.385300000000001</v>
      </c>
      <c r="X68" s="113">
        <f t="shared" si="13"/>
        <v>76.161060000000006</v>
      </c>
      <c r="Y68" s="113">
        <f t="shared" si="14"/>
        <v>86.817340000000002</v>
      </c>
      <c r="Z68" s="114">
        <f t="shared" si="15"/>
        <v>299.94294000000002</v>
      </c>
      <c r="AA68" s="114">
        <f t="shared" si="3"/>
        <v>626.84</v>
      </c>
      <c r="AB68" s="115">
        <v>626.84</v>
      </c>
      <c r="AC68" s="116">
        <f t="shared" si="16"/>
        <v>185.08310029248045</v>
      </c>
      <c r="AD68" s="116">
        <f t="shared" si="17"/>
        <v>129.22402113406923</v>
      </c>
      <c r="AE68" s="116">
        <f t="shared" si="18"/>
        <v>146.04975752429473</v>
      </c>
      <c r="AF68" s="116">
        <f t="shared" si="19"/>
        <v>166.48312104915559</v>
      </c>
      <c r="AG68" s="117"/>
      <c r="AH68" s="222">
        <f t="shared" si="4"/>
        <v>626.83999999999992</v>
      </c>
    </row>
    <row r="69" spans="1:34" s="43" customFormat="1" ht="12" x14ac:dyDescent="0.2">
      <c r="A69" s="19" t="s">
        <v>79</v>
      </c>
      <c r="B69" s="9"/>
      <c r="C69" s="8" t="s">
        <v>80</v>
      </c>
      <c r="D69" s="8" t="s">
        <v>10</v>
      </c>
      <c r="E69" s="10">
        <f>+E70</f>
        <v>500</v>
      </c>
      <c r="F69" s="10">
        <f>+F70</f>
        <v>500</v>
      </c>
      <c r="G69" s="10">
        <f>+G70</f>
        <v>0</v>
      </c>
      <c r="H69" s="10">
        <f>+H70</f>
        <v>0</v>
      </c>
      <c r="I69" s="10">
        <f>+I70</f>
        <v>0</v>
      </c>
      <c r="J69" s="39"/>
      <c r="K69" s="256">
        <f>+K70</f>
        <v>49.800000000000011</v>
      </c>
      <c r="L69" s="155">
        <f>+L70</f>
        <v>450.2</v>
      </c>
      <c r="M69" s="156">
        <v>421.79</v>
      </c>
      <c r="N69" s="157">
        <v>138</v>
      </c>
      <c r="O69" s="158">
        <f t="shared" si="30"/>
        <v>559.79</v>
      </c>
      <c r="P69" s="109">
        <f t="shared" si="24"/>
        <v>86.20765999999999</v>
      </c>
      <c r="Q69" s="110">
        <f t="shared" si="25"/>
        <v>60.177424999999992</v>
      </c>
      <c r="R69" s="110">
        <f t="shared" si="26"/>
        <v>68.014484999999993</v>
      </c>
      <c r="S69" s="110">
        <f t="shared" si="27"/>
        <v>77.530914999999993</v>
      </c>
      <c r="T69" s="111">
        <f t="shared" si="28"/>
        <v>267.85951499999999</v>
      </c>
      <c r="U69" s="111">
        <f t="shared" si="22"/>
        <v>559.79</v>
      </c>
      <c r="V69" s="112">
        <f t="shared" si="29"/>
        <v>86.20765999999999</v>
      </c>
      <c r="W69" s="113">
        <f t="shared" si="12"/>
        <v>60.177424999999992</v>
      </c>
      <c r="X69" s="113">
        <f t="shared" si="13"/>
        <v>68.014484999999993</v>
      </c>
      <c r="Y69" s="113">
        <f t="shared" si="14"/>
        <v>77.530914999999993</v>
      </c>
      <c r="Z69" s="114">
        <f t="shared" si="15"/>
        <v>267.85951499999999</v>
      </c>
      <c r="AA69" s="114">
        <f t="shared" si="3"/>
        <v>559.79</v>
      </c>
      <c r="AB69" s="115">
        <v>421</v>
      </c>
      <c r="AC69" s="116">
        <f t="shared" si="16"/>
        <v>124.30601943579585</v>
      </c>
      <c r="AD69" s="116">
        <f t="shared" si="17"/>
        <v>86.789791489763175</v>
      </c>
      <c r="AE69" s="116">
        <f t="shared" si="18"/>
        <v>98.090338711199166</v>
      </c>
      <c r="AF69" s="116">
        <f t="shared" si="19"/>
        <v>111.81385036324184</v>
      </c>
      <c r="AG69" s="117"/>
      <c r="AH69" s="222">
        <f t="shared" si="4"/>
        <v>421</v>
      </c>
    </row>
    <row r="70" spans="1:34" s="43" customFormat="1" ht="14.45" hidden="1" customHeight="1" x14ac:dyDescent="0.2">
      <c r="A70" s="93"/>
      <c r="B70" s="8" t="s">
        <v>81</v>
      </c>
      <c r="C70" s="8" t="s">
        <v>80</v>
      </c>
      <c r="D70" s="8"/>
      <c r="E70" s="10">
        <v>500</v>
      </c>
      <c r="F70" s="10">
        <v>500</v>
      </c>
      <c r="G70" s="10">
        <v>0</v>
      </c>
      <c r="H70" s="10">
        <v>0</v>
      </c>
      <c r="I70" s="10">
        <v>0</v>
      </c>
      <c r="J70" s="39"/>
      <c r="K70" s="256">
        <f>+F70-G70-H70-I70-L70</f>
        <v>49.800000000000011</v>
      </c>
      <c r="L70" s="155">
        <v>450.2</v>
      </c>
      <c r="M70" s="156">
        <v>421.79</v>
      </c>
      <c r="N70" s="157"/>
      <c r="O70" s="158">
        <f t="shared" si="30"/>
        <v>421.79</v>
      </c>
      <c r="P70" s="109">
        <f t="shared" si="24"/>
        <v>64.955660000000009</v>
      </c>
      <c r="Q70" s="110">
        <f t="shared" si="25"/>
        <v>45.342425000000006</v>
      </c>
      <c r="R70" s="110">
        <f t="shared" si="26"/>
        <v>51.247485000000005</v>
      </c>
      <c r="S70" s="110">
        <f t="shared" si="27"/>
        <v>58.417915000000001</v>
      </c>
      <c r="T70" s="111">
        <f t="shared" si="28"/>
        <v>201.826515</v>
      </c>
      <c r="U70" s="111">
        <f t="shared" si="22"/>
        <v>421.79</v>
      </c>
      <c r="V70" s="112">
        <f t="shared" si="29"/>
        <v>64.955660000000009</v>
      </c>
      <c r="W70" s="113">
        <f t="shared" si="12"/>
        <v>45.342425000000006</v>
      </c>
      <c r="X70" s="113">
        <f t="shared" si="13"/>
        <v>51.247485000000005</v>
      </c>
      <c r="Y70" s="113">
        <f t="shared" si="14"/>
        <v>58.417915000000001</v>
      </c>
      <c r="Z70" s="114">
        <f t="shared" si="15"/>
        <v>201.826515</v>
      </c>
      <c r="AA70" s="114">
        <f t="shared" si="3"/>
        <v>421.79</v>
      </c>
      <c r="AB70" s="115">
        <v>421.79</v>
      </c>
      <c r="AC70" s="116">
        <f t="shared" si="16"/>
        <v>124.53927776205305</v>
      </c>
      <c r="AD70" s="116">
        <f t="shared" si="17"/>
        <v>86.952651193508828</v>
      </c>
      <c r="AE70" s="116">
        <f t="shared" si="18"/>
        <v>98.274403717331822</v>
      </c>
      <c r="AF70" s="116">
        <f t="shared" si="19"/>
        <v>112.02366732710634</v>
      </c>
      <c r="AG70" s="117"/>
      <c r="AH70" s="222">
        <f t="shared" si="4"/>
        <v>421.79000000000008</v>
      </c>
    </row>
    <row r="71" spans="1:34" s="43" customFormat="1" ht="12" x14ac:dyDescent="0.2">
      <c r="A71" s="19" t="s">
        <v>82</v>
      </c>
      <c r="B71" s="9"/>
      <c r="C71" s="8" t="s">
        <v>83</v>
      </c>
      <c r="D71" s="8" t="s">
        <v>10</v>
      </c>
      <c r="E71" s="10">
        <f>+E72</f>
        <v>3500</v>
      </c>
      <c r="F71" s="10">
        <f>+F72</f>
        <v>3500</v>
      </c>
      <c r="G71" s="10">
        <f>+G72</f>
        <v>0</v>
      </c>
      <c r="H71" s="10">
        <f>+H72</f>
        <v>0</v>
      </c>
      <c r="I71" s="10">
        <f>+I72</f>
        <v>0</v>
      </c>
      <c r="J71" s="39"/>
      <c r="K71" s="256">
        <f>+K72</f>
        <v>1211.5</v>
      </c>
      <c r="L71" s="155">
        <f>+L72</f>
        <v>2288.5</v>
      </c>
      <c r="M71" s="156">
        <v>1332.88</v>
      </c>
      <c r="N71" s="157">
        <v>432</v>
      </c>
      <c r="O71" s="158">
        <f t="shared" si="30"/>
        <v>1764.88</v>
      </c>
      <c r="P71" s="109">
        <f t="shared" si="24"/>
        <v>271.79151999999999</v>
      </c>
      <c r="Q71" s="110">
        <f t="shared" si="25"/>
        <v>189.72460000000004</v>
      </c>
      <c r="R71" s="110">
        <f t="shared" si="26"/>
        <v>214.43292000000002</v>
      </c>
      <c r="S71" s="110">
        <f t="shared" si="27"/>
        <v>244.43588</v>
      </c>
      <c r="T71" s="111">
        <f t="shared" si="28"/>
        <v>844.49508000000003</v>
      </c>
      <c r="U71" s="111">
        <f t="shared" si="22"/>
        <v>1764.88</v>
      </c>
      <c r="V71" s="112">
        <f t="shared" si="29"/>
        <v>271.79151999999999</v>
      </c>
      <c r="W71" s="113">
        <f t="shared" si="12"/>
        <v>189.72460000000004</v>
      </c>
      <c r="X71" s="113">
        <f t="shared" si="13"/>
        <v>214.43292000000002</v>
      </c>
      <c r="Y71" s="113">
        <f t="shared" si="14"/>
        <v>244.43588</v>
      </c>
      <c r="Z71" s="114">
        <f t="shared" si="15"/>
        <v>844.49508000000003</v>
      </c>
      <c r="AA71" s="114">
        <f t="shared" si="3"/>
        <v>1764.88</v>
      </c>
      <c r="AB71" s="115">
        <v>1332</v>
      </c>
      <c r="AC71" s="116">
        <f t="shared" si="16"/>
        <v>393.29125389187664</v>
      </c>
      <c r="AD71" s="116">
        <f t="shared" si="17"/>
        <v>274.59382960656666</v>
      </c>
      <c r="AE71" s="116">
        <f t="shared" si="18"/>
        <v>310.34757996037365</v>
      </c>
      <c r="AF71" s="116">
        <f t="shared" si="19"/>
        <v>353.76733654118317</v>
      </c>
      <c r="AG71" s="117"/>
      <c r="AH71" s="222">
        <f t="shared" si="4"/>
        <v>1332</v>
      </c>
    </row>
    <row r="72" spans="1:34" s="43" customFormat="1" ht="14.45" hidden="1" customHeight="1" x14ac:dyDescent="0.2">
      <c r="A72" s="93"/>
      <c r="B72" s="8" t="s">
        <v>84</v>
      </c>
      <c r="C72" s="8" t="s">
        <v>85</v>
      </c>
      <c r="D72" s="8"/>
      <c r="E72" s="10">
        <v>3500</v>
      </c>
      <c r="F72" s="10">
        <v>3500</v>
      </c>
      <c r="G72" s="10">
        <v>0</v>
      </c>
      <c r="H72" s="10">
        <v>0</v>
      </c>
      <c r="I72" s="10">
        <v>0</v>
      </c>
      <c r="J72" s="39"/>
      <c r="K72" s="256">
        <f>+F72-G72-H72-I72-L72</f>
        <v>1211.5</v>
      </c>
      <c r="L72" s="155">
        <v>2288.5</v>
      </c>
      <c r="M72" s="156">
        <v>1332.88</v>
      </c>
      <c r="N72" s="157"/>
      <c r="O72" s="158">
        <f t="shared" si="30"/>
        <v>1332.88</v>
      </c>
      <c r="P72" s="109">
        <f t="shared" si="24"/>
        <v>205.26352000000003</v>
      </c>
      <c r="Q72" s="110">
        <f t="shared" si="25"/>
        <v>143.28460000000001</v>
      </c>
      <c r="R72" s="110">
        <f t="shared" si="26"/>
        <v>161.94492000000002</v>
      </c>
      <c r="S72" s="110">
        <f t="shared" si="27"/>
        <v>184.60388000000003</v>
      </c>
      <c r="T72" s="111">
        <f t="shared" si="28"/>
        <v>637.78308000000004</v>
      </c>
      <c r="U72" s="111">
        <f t="shared" si="22"/>
        <v>1332.88</v>
      </c>
      <c r="V72" s="112">
        <f t="shared" si="29"/>
        <v>205.26352000000003</v>
      </c>
      <c r="W72" s="113">
        <f t="shared" si="12"/>
        <v>143.28460000000001</v>
      </c>
      <c r="X72" s="113">
        <f t="shared" si="13"/>
        <v>161.94492000000002</v>
      </c>
      <c r="Y72" s="113">
        <f t="shared" si="14"/>
        <v>184.60388000000003</v>
      </c>
      <c r="Z72" s="114">
        <f t="shared" si="15"/>
        <v>637.78308000000004</v>
      </c>
      <c r="AA72" s="114">
        <f t="shared" si="3"/>
        <v>1332.88</v>
      </c>
      <c r="AB72" s="115">
        <v>1332.88</v>
      </c>
      <c r="AC72" s="116">
        <f t="shared" si="16"/>
        <v>393.55108595150494</v>
      </c>
      <c r="AD72" s="116">
        <f t="shared" si="17"/>
        <v>274.77524294744785</v>
      </c>
      <c r="AE72" s="116">
        <f t="shared" si="18"/>
        <v>310.5526143975847</v>
      </c>
      <c r="AF72" s="116">
        <f t="shared" si="19"/>
        <v>354.00105670346267</v>
      </c>
      <c r="AG72" s="117"/>
      <c r="AH72" s="222">
        <f t="shared" si="4"/>
        <v>1332.88</v>
      </c>
    </row>
    <row r="73" spans="1:34" s="43" customFormat="1" ht="12" x14ac:dyDescent="0.2">
      <c r="A73" s="19" t="s">
        <v>86</v>
      </c>
      <c r="B73" s="9"/>
      <c r="C73" s="8" t="s">
        <v>87</v>
      </c>
      <c r="D73" s="8" t="s">
        <v>10</v>
      </c>
      <c r="E73" s="10">
        <f>+E74</f>
        <v>2000</v>
      </c>
      <c r="F73" s="10">
        <f>+F74</f>
        <v>2000</v>
      </c>
      <c r="G73" s="10">
        <f>+G74</f>
        <v>0</v>
      </c>
      <c r="H73" s="10">
        <f>+H74</f>
        <v>0</v>
      </c>
      <c r="I73" s="10">
        <f>+I74</f>
        <v>0</v>
      </c>
      <c r="J73" s="39"/>
      <c r="K73" s="256">
        <f>+K74</f>
        <v>1404</v>
      </c>
      <c r="L73" s="155">
        <f>+L74</f>
        <v>596</v>
      </c>
      <c r="M73" s="156">
        <v>0</v>
      </c>
      <c r="N73" s="157">
        <v>300</v>
      </c>
      <c r="O73" s="158">
        <f t="shared" si="30"/>
        <v>300</v>
      </c>
      <c r="P73" s="109">
        <f t="shared" si="24"/>
        <v>46.2</v>
      </c>
      <c r="Q73" s="110">
        <f t="shared" si="25"/>
        <v>32.25</v>
      </c>
      <c r="R73" s="110">
        <f t="shared" si="26"/>
        <v>36.450000000000003</v>
      </c>
      <c r="S73" s="110">
        <f t="shared" si="27"/>
        <v>41.55</v>
      </c>
      <c r="T73" s="111">
        <f t="shared" si="28"/>
        <v>143.55000000000001</v>
      </c>
      <c r="U73" s="111">
        <f t="shared" si="22"/>
        <v>300</v>
      </c>
      <c r="V73" s="112">
        <f t="shared" si="29"/>
        <v>46.2</v>
      </c>
      <c r="W73" s="113">
        <f t="shared" si="12"/>
        <v>32.25</v>
      </c>
      <c r="X73" s="113">
        <f t="shared" si="13"/>
        <v>36.450000000000003</v>
      </c>
      <c r="Y73" s="113">
        <f t="shared" si="14"/>
        <v>41.55</v>
      </c>
      <c r="Z73" s="114">
        <f t="shared" si="15"/>
        <v>143.55000000000001</v>
      </c>
      <c r="AA73" s="114">
        <f t="shared" si="3"/>
        <v>300</v>
      </c>
      <c r="AB73" s="115">
        <v>300</v>
      </c>
      <c r="AC73" s="116">
        <f t="shared" si="16"/>
        <v>88.579111236909142</v>
      </c>
      <c r="AD73" s="116">
        <f t="shared" si="17"/>
        <v>61.845457118596087</v>
      </c>
      <c r="AE73" s="116">
        <f t="shared" si="18"/>
        <v>69.898103594678744</v>
      </c>
      <c r="AF73" s="116">
        <f t="shared" si="19"/>
        <v>79.677328049816026</v>
      </c>
      <c r="AG73" s="117"/>
      <c r="AH73" s="222">
        <f t="shared" si="4"/>
        <v>300</v>
      </c>
    </row>
    <row r="74" spans="1:34" s="43" customFormat="1" ht="14.45" hidden="1" customHeight="1" x14ac:dyDescent="0.2">
      <c r="A74" s="93"/>
      <c r="B74" s="8" t="s">
        <v>88</v>
      </c>
      <c r="C74" s="8" t="s">
        <v>89</v>
      </c>
      <c r="D74" s="8"/>
      <c r="E74" s="10">
        <v>2000</v>
      </c>
      <c r="F74" s="10">
        <v>2000</v>
      </c>
      <c r="G74" s="10">
        <v>0</v>
      </c>
      <c r="H74" s="10">
        <v>0</v>
      </c>
      <c r="I74" s="10">
        <v>0</v>
      </c>
      <c r="J74" s="39"/>
      <c r="K74" s="256">
        <f>+F74-G74-H74-I74-L74</f>
        <v>1404</v>
      </c>
      <c r="L74" s="155">
        <v>596</v>
      </c>
      <c r="M74" s="156">
        <v>0</v>
      </c>
      <c r="N74" s="157"/>
      <c r="O74" s="158">
        <f t="shared" si="30"/>
        <v>0</v>
      </c>
      <c r="P74" s="109">
        <f t="shared" si="24"/>
        <v>0</v>
      </c>
      <c r="Q74" s="110">
        <f t="shared" si="25"/>
        <v>0</v>
      </c>
      <c r="R74" s="110">
        <f t="shared" si="26"/>
        <v>0</v>
      </c>
      <c r="S74" s="110">
        <f t="shared" si="27"/>
        <v>0</v>
      </c>
      <c r="T74" s="111">
        <f t="shared" si="28"/>
        <v>0</v>
      </c>
      <c r="U74" s="111">
        <f t="shared" si="22"/>
        <v>0</v>
      </c>
      <c r="V74" s="112">
        <f t="shared" si="29"/>
        <v>0</v>
      </c>
      <c r="W74" s="113">
        <f t="shared" si="12"/>
        <v>0</v>
      </c>
      <c r="X74" s="113">
        <f t="shared" si="13"/>
        <v>0</v>
      </c>
      <c r="Y74" s="113">
        <f t="shared" si="14"/>
        <v>0</v>
      </c>
      <c r="Z74" s="114">
        <f t="shared" si="15"/>
        <v>0</v>
      </c>
      <c r="AA74" s="114">
        <f t="shared" si="3"/>
        <v>0</v>
      </c>
      <c r="AB74" s="115">
        <v>0</v>
      </c>
      <c r="AC74" s="116">
        <f t="shared" si="16"/>
        <v>0</v>
      </c>
      <c r="AD74" s="116">
        <f t="shared" si="17"/>
        <v>0</v>
      </c>
      <c r="AE74" s="116">
        <f t="shared" si="18"/>
        <v>0</v>
      </c>
      <c r="AF74" s="116">
        <f t="shared" si="19"/>
        <v>0</v>
      </c>
      <c r="AG74" s="117"/>
      <c r="AH74" s="222">
        <f t="shared" si="4"/>
        <v>0</v>
      </c>
    </row>
    <row r="75" spans="1:34" s="43" customFormat="1" ht="12" x14ac:dyDescent="0.2">
      <c r="A75" s="19" t="s">
        <v>90</v>
      </c>
      <c r="B75" s="9"/>
      <c r="C75" s="8" t="s">
        <v>91</v>
      </c>
      <c r="D75" s="8" t="s">
        <v>10</v>
      </c>
      <c r="E75" s="10">
        <f>+E76</f>
        <v>3500</v>
      </c>
      <c r="F75" s="10">
        <f>+F76</f>
        <v>3500</v>
      </c>
      <c r="G75" s="10">
        <f>+G76</f>
        <v>0</v>
      </c>
      <c r="H75" s="10">
        <f>+H76</f>
        <v>0</v>
      </c>
      <c r="I75" s="10">
        <f>+I76</f>
        <v>0</v>
      </c>
      <c r="J75" s="39"/>
      <c r="K75" s="256">
        <f>+K76</f>
        <v>2481</v>
      </c>
      <c r="L75" s="155">
        <f>+L76</f>
        <v>1019</v>
      </c>
      <c r="M75" s="156">
        <v>588.41</v>
      </c>
      <c r="N75" s="157">
        <v>400</v>
      </c>
      <c r="O75" s="158">
        <f t="shared" si="30"/>
        <v>988.41</v>
      </c>
      <c r="P75" s="109">
        <f t="shared" si="24"/>
        <v>152.21513999999999</v>
      </c>
      <c r="Q75" s="110">
        <f t="shared" si="25"/>
        <v>106.254075</v>
      </c>
      <c r="R75" s="110">
        <f t="shared" si="26"/>
        <v>120.09181500000001</v>
      </c>
      <c r="S75" s="110">
        <f t="shared" si="27"/>
        <v>136.89478499999998</v>
      </c>
      <c r="T75" s="111">
        <f t="shared" si="28"/>
        <v>472.954185</v>
      </c>
      <c r="U75" s="111">
        <f t="shared" si="22"/>
        <v>988.40999999999985</v>
      </c>
      <c r="V75" s="112">
        <f t="shared" si="29"/>
        <v>152.21513999999999</v>
      </c>
      <c r="W75" s="113">
        <f t="shared" si="12"/>
        <v>106.254075</v>
      </c>
      <c r="X75" s="113">
        <f t="shared" si="13"/>
        <v>120.09181500000001</v>
      </c>
      <c r="Y75" s="113">
        <f t="shared" si="14"/>
        <v>136.89478499999998</v>
      </c>
      <c r="Z75" s="114">
        <f t="shared" si="15"/>
        <v>472.954185</v>
      </c>
      <c r="AA75" s="114">
        <f t="shared" si="3"/>
        <v>988.40999999999985</v>
      </c>
      <c r="AB75" s="115">
        <v>988.41</v>
      </c>
      <c r="AC75" s="116">
        <f t="shared" si="16"/>
        <v>291.84159779224456</v>
      </c>
      <c r="AD75" s="116">
        <f t="shared" si="17"/>
        <v>203.76222756863851</v>
      </c>
      <c r="AE75" s="116">
        <f t="shared" si="18"/>
        <v>230.29328191338806</v>
      </c>
      <c r="AF75" s="116">
        <f t="shared" si="19"/>
        <v>262.51289272572888</v>
      </c>
      <c r="AG75" s="117"/>
      <c r="AH75" s="222">
        <f t="shared" si="4"/>
        <v>988.41</v>
      </c>
    </row>
    <row r="76" spans="1:34" s="43" customFormat="1" ht="14.45" hidden="1" customHeight="1" x14ac:dyDescent="0.2">
      <c r="A76" s="93"/>
      <c r="B76" s="8" t="s">
        <v>92</v>
      </c>
      <c r="C76" s="8" t="s">
        <v>93</v>
      </c>
      <c r="D76" s="8"/>
      <c r="E76" s="10">
        <v>3500</v>
      </c>
      <c r="F76" s="10">
        <v>3500</v>
      </c>
      <c r="G76" s="10">
        <v>0</v>
      </c>
      <c r="H76" s="10">
        <v>0</v>
      </c>
      <c r="I76" s="10">
        <v>0</v>
      </c>
      <c r="J76" s="39"/>
      <c r="K76" s="256">
        <f>+F76-G76-H76-I76-L76</f>
        <v>2481</v>
      </c>
      <c r="L76" s="155">
        <v>1019</v>
      </c>
      <c r="M76" s="156">
        <v>588.41</v>
      </c>
      <c r="N76" s="157"/>
      <c r="O76" s="158">
        <f t="shared" si="30"/>
        <v>588.41</v>
      </c>
      <c r="P76" s="109">
        <f t="shared" si="24"/>
        <v>90.615139999999997</v>
      </c>
      <c r="Q76" s="110">
        <f t="shared" si="25"/>
        <v>63.254074999999993</v>
      </c>
      <c r="R76" s="110">
        <f t="shared" si="26"/>
        <v>71.491815000000003</v>
      </c>
      <c r="S76" s="110">
        <f t="shared" si="27"/>
        <v>81.494784999999993</v>
      </c>
      <c r="T76" s="111">
        <f t="shared" si="28"/>
        <v>281.55418500000002</v>
      </c>
      <c r="U76" s="111">
        <f t="shared" si="22"/>
        <v>588.41000000000008</v>
      </c>
      <c r="V76" s="112">
        <f t="shared" si="29"/>
        <v>90.615139999999997</v>
      </c>
      <c r="W76" s="113">
        <f t="shared" si="12"/>
        <v>63.254074999999993</v>
      </c>
      <c r="X76" s="113">
        <f t="shared" si="13"/>
        <v>71.491815000000003</v>
      </c>
      <c r="Y76" s="113">
        <f t="shared" si="14"/>
        <v>81.494784999999993</v>
      </c>
      <c r="Z76" s="114">
        <f t="shared" si="15"/>
        <v>281.55418500000002</v>
      </c>
      <c r="AA76" s="114">
        <f t="shared" si="3"/>
        <v>588.41000000000008</v>
      </c>
      <c r="AB76" s="115">
        <v>588.41</v>
      </c>
      <c r="AC76" s="116">
        <f t="shared" si="16"/>
        <v>173.73611614303235</v>
      </c>
      <c r="AD76" s="116">
        <f t="shared" si="17"/>
        <v>121.30161807717708</v>
      </c>
      <c r="AE76" s="116">
        <f t="shared" si="18"/>
        <v>137.0958104538164</v>
      </c>
      <c r="AF76" s="116">
        <f t="shared" si="19"/>
        <v>156.27645532597415</v>
      </c>
      <c r="AG76" s="117"/>
      <c r="AH76" s="222">
        <f t="shared" si="4"/>
        <v>588.41</v>
      </c>
    </row>
    <row r="77" spans="1:34" s="43" customFormat="1" ht="12" x14ac:dyDescent="0.2">
      <c r="A77" s="19" t="s">
        <v>94</v>
      </c>
      <c r="B77" s="9"/>
      <c r="C77" s="8" t="s">
        <v>95</v>
      </c>
      <c r="D77" s="8" t="s">
        <v>10</v>
      </c>
      <c r="E77" s="10">
        <f>+E78</f>
        <v>5000</v>
      </c>
      <c r="F77" s="10">
        <f>+F78</f>
        <v>5000</v>
      </c>
      <c r="G77" s="10">
        <f>+G78</f>
        <v>0</v>
      </c>
      <c r="H77" s="10">
        <f>+H78</f>
        <v>0</v>
      </c>
      <c r="I77" s="10">
        <f>+I78</f>
        <v>0</v>
      </c>
      <c r="J77" s="39"/>
      <c r="K77" s="256">
        <f>+K78</f>
        <v>1340</v>
      </c>
      <c r="L77" s="155">
        <f>+L78</f>
        <v>3660</v>
      </c>
      <c r="M77" s="156">
        <v>3355</v>
      </c>
      <c r="N77" s="161">
        <f>353*4</f>
        <v>1412</v>
      </c>
      <c r="O77" s="162">
        <f t="shared" si="30"/>
        <v>4767</v>
      </c>
      <c r="P77" s="109">
        <f t="shared" si="24"/>
        <v>734.11800000000005</v>
      </c>
      <c r="Q77" s="110">
        <f t="shared" si="25"/>
        <v>512.45249999999999</v>
      </c>
      <c r="R77" s="110">
        <f t="shared" si="26"/>
        <v>579.19050000000004</v>
      </c>
      <c r="S77" s="110">
        <f t="shared" si="27"/>
        <v>660.22949999999992</v>
      </c>
      <c r="T77" s="111">
        <f t="shared" si="28"/>
        <v>2281.0095000000001</v>
      </c>
      <c r="U77" s="111">
        <f t="shared" si="22"/>
        <v>4767</v>
      </c>
      <c r="V77" s="112">
        <f t="shared" si="29"/>
        <v>734.11800000000005</v>
      </c>
      <c r="W77" s="113">
        <f t="shared" si="12"/>
        <v>512.45249999999999</v>
      </c>
      <c r="X77" s="113">
        <f t="shared" si="13"/>
        <v>579.19050000000004</v>
      </c>
      <c r="Y77" s="113">
        <f t="shared" si="14"/>
        <v>660.22949999999992</v>
      </c>
      <c r="Z77" s="114">
        <f t="shared" si="15"/>
        <v>2281.0095000000001</v>
      </c>
      <c r="AA77" s="114">
        <f t="shared" si="3"/>
        <v>4767</v>
      </c>
      <c r="AB77" s="115">
        <v>4767</v>
      </c>
      <c r="AC77" s="116">
        <f t="shared" si="16"/>
        <v>1407.5220775544865</v>
      </c>
      <c r="AD77" s="116">
        <f t="shared" si="17"/>
        <v>982.72431361449185</v>
      </c>
      <c r="AE77" s="116">
        <f t="shared" si="18"/>
        <v>1110.6808661194452</v>
      </c>
      <c r="AF77" s="116">
        <f t="shared" si="19"/>
        <v>1266.0727427115767</v>
      </c>
      <c r="AG77" s="117"/>
      <c r="AH77" s="222">
        <f t="shared" si="4"/>
        <v>4767</v>
      </c>
    </row>
    <row r="78" spans="1:34" s="43" customFormat="1" ht="14.45" hidden="1" customHeight="1" x14ac:dyDescent="0.2">
      <c r="A78" s="93"/>
      <c r="B78" s="8" t="s">
        <v>96</v>
      </c>
      <c r="C78" s="8" t="s">
        <v>97</v>
      </c>
      <c r="D78" s="8"/>
      <c r="E78" s="10">
        <v>5000</v>
      </c>
      <c r="F78" s="10">
        <v>5000</v>
      </c>
      <c r="G78" s="10">
        <v>0</v>
      </c>
      <c r="H78" s="10">
        <v>0</v>
      </c>
      <c r="I78" s="10">
        <v>0</v>
      </c>
      <c r="J78" s="39"/>
      <c r="K78" s="256">
        <f>+F78-G78-H78-I78-L78</f>
        <v>1340</v>
      </c>
      <c r="L78" s="155">
        <v>3660</v>
      </c>
      <c r="M78" s="156">
        <v>3355</v>
      </c>
      <c r="N78" s="157"/>
      <c r="O78" s="158">
        <f t="shared" si="30"/>
        <v>3355</v>
      </c>
      <c r="P78" s="109">
        <f t="shared" si="24"/>
        <v>516.66999999999996</v>
      </c>
      <c r="Q78" s="110">
        <f t="shared" si="25"/>
        <v>360.66250000000002</v>
      </c>
      <c r="R78" s="110">
        <f t="shared" si="26"/>
        <v>407.63249999999999</v>
      </c>
      <c r="S78" s="110">
        <f t="shared" si="27"/>
        <v>464.66750000000002</v>
      </c>
      <c r="T78" s="111">
        <f t="shared" si="28"/>
        <v>1605.3675000000001</v>
      </c>
      <c r="U78" s="111">
        <f t="shared" si="22"/>
        <v>3355</v>
      </c>
      <c r="V78" s="112">
        <f t="shared" si="29"/>
        <v>516.66999999999996</v>
      </c>
      <c r="W78" s="113">
        <f t="shared" si="12"/>
        <v>360.66250000000002</v>
      </c>
      <c r="X78" s="113">
        <f t="shared" si="13"/>
        <v>407.63249999999999</v>
      </c>
      <c r="Y78" s="113">
        <f t="shared" si="14"/>
        <v>464.66750000000002</v>
      </c>
      <c r="Z78" s="114">
        <f t="shared" si="15"/>
        <v>1605.3675000000001</v>
      </c>
      <c r="AA78" s="114">
        <f t="shared" si="3"/>
        <v>3355</v>
      </c>
      <c r="AB78" s="115">
        <v>3355</v>
      </c>
      <c r="AC78" s="116">
        <f t="shared" si="16"/>
        <v>990.60972733276719</v>
      </c>
      <c r="AD78" s="116">
        <f t="shared" si="17"/>
        <v>691.63836210963302</v>
      </c>
      <c r="AE78" s="116">
        <f t="shared" si="18"/>
        <v>781.6937918671573</v>
      </c>
      <c r="AF78" s="116">
        <f t="shared" si="19"/>
        <v>891.0581186904426</v>
      </c>
      <c r="AG78" s="117"/>
      <c r="AH78" s="222">
        <f t="shared" si="4"/>
        <v>3355</v>
      </c>
    </row>
    <row r="79" spans="1:34" s="43" customFormat="1" ht="12" x14ac:dyDescent="0.2">
      <c r="A79" s="19" t="s">
        <v>98</v>
      </c>
      <c r="B79" s="9"/>
      <c r="C79" s="8" t="s">
        <v>99</v>
      </c>
      <c r="D79" s="8" t="s">
        <v>10</v>
      </c>
      <c r="E79" s="10">
        <f>+E80</f>
        <v>18000</v>
      </c>
      <c r="F79" s="10">
        <f>+F80</f>
        <v>19870.18</v>
      </c>
      <c r="G79" s="10">
        <f>+G80</f>
        <v>0</v>
      </c>
      <c r="H79" s="10">
        <f>+H80</f>
        <v>0</v>
      </c>
      <c r="I79" s="10">
        <f>+I80</f>
        <v>0</v>
      </c>
      <c r="J79" s="39"/>
      <c r="K79" s="256">
        <f>+K80</f>
        <v>0</v>
      </c>
      <c r="L79" s="155">
        <f>+L80</f>
        <v>19870.18</v>
      </c>
      <c r="M79" s="156">
        <v>13373.68</v>
      </c>
      <c r="N79" s="157">
        <f>1670*4</f>
        <v>6680</v>
      </c>
      <c r="O79" s="158">
        <f t="shared" si="30"/>
        <v>20053.68</v>
      </c>
      <c r="P79" s="109">
        <f t="shared" si="24"/>
        <v>3088.2667200000001</v>
      </c>
      <c r="Q79" s="110">
        <f t="shared" si="25"/>
        <v>2155.7705999999998</v>
      </c>
      <c r="R79" s="110">
        <f t="shared" si="26"/>
        <v>2436.5221200000001</v>
      </c>
      <c r="S79" s="110">
        <f t="shared" si="27"/>
        <v>2777.4346799999998</v>
      </c>
      <c r="T79" s="111">
        <f t="shared" si="28"/>
        <v>9595.6858799999991</v>
      </c>
      <c r="U79" s="111">
        <f t="shared" si="22"/>
        <v>20053.68</v>
      </c>
      <c r="V79" s="112">
        <f t="shared" si="29"/>
        <v>3088.2667200000001</v>
      </c>
      <c r="W79" s="113">
        <f t="shared" si="12"/>
        <v>2155.7705999999998</v>
      </c>
      <c r="X79" s="113">
        <f t="shared" si="13"/>
        <v>2436.5221200000001</v>
      </c>
      <c r="Y79" s="113">
        <f t="shared" si="14"/>
        <v>2777.4346799999998</v>
      </c>
      <c r="Z79" s="114">
        <f t="shared" si="15"/>
        <v>9595.6858799999991</v>
      </c>
      <c r="AA79" s="114">
        <f t="shared" si="3"/>
        <v>20053.68</v>
      </c>
      <c r="AB79" s="115">
        <v>20053.68</v>
      </c>
      <c r="AC79" s="116">
        <f t="shared" si="16"/>
        <v>5921.1238380979339</v>
      </c>
      <c r="AD79" s="116">
        <f t="shared" si="17"/>
        <v>4134.096688366827</v>
      </c>
      <c r="AE79" s="116">
        <f t="shared" si="18"/>
        <v>4672.3806736484576</v>
      </c>
      <c r="AF79" s="116">
        <f t="shared" si="19"/>
        <v>5326.0787998867827</v>
      </c>
      <c r="AG79" s="117"/>
      <c r="AH79" s="222">
        <f t="shared" si="4"/>
        <v>20053.68</v>
      </c>
    </row>
    <row r="80" spans="1:34" s="43" customFormat="1" ht="14.45" hidden="1" customHeight="1" x14ac:dyDescent="0.2">
      <c r="A80" s="93"/>
      <c r="B80" s="8" t="s">
        <v>100</v>
      </c>
      <c r="C80" s="8" t="s">
        <v>101</v>
      </c>
      <c r="D80" s="8"/>
      <c r="E80" s="10">
        <v>18000</v>
      </c>
      <c r="F80" s="10">
        <v>19870.18</v>
      </c>
      <c r="G80" s="10">
        <v>0</v>
      </c>
      <c r="H80" s="10">
        <v>0</v>
      </c>
      <c r="I80" s="10">
        <v>0</v>
      </c>
      <c r="J80" s="39"/>
      <c r="K80" s="256">
        <f>+F80-G80-H80-I80-L80</f>
        <v>0</v>
      </c>
      <c r="L80" s="155">
        <v>19870.18</v>
      </c>
      <c r="M80" s="156">
        <v>13373.68</v>
      </c>
      <c r="N80" s="157"/>
      <c r="O80" s="158">
        <f t="shared" si="30"/>
        <v>13373.68</v>
      </c>
      <c r="P80" s="109">
        <f t="shared" si="24"/>
        <v>2059.5467200000003</v>
      </c>
      <c r="Q80" s="110">
        <f t="shared" si="25"/>
        <v>1437.6705999999999</v>
      </c>
      <c r="R80" s="110">
        <f t="shared" si="26"/>
        <v>1624.90212</v>
      </c>
      <c r="S80" s="110">
        <f t="shared" si="27"/>
        <v>1852.25468</v>
      </c>
      <c r="T80" s="111">
        <f t="shared" si="28"/>
        <v>6399.3058799999999</v>
      </c>
      <c r="U80" s="111">
        <f t="shared" si="22"/>
        <v>13373.68</v>
      </c>
      <c r="V80" s="112">
        <f t="shared" si="29"/>
        <v>2059.5467200000003</v>
      </c>
      <c r="W80" s="113">
        <f t="shared" si="12"/>
        <v>1437.6705999999999</v>
      </c>
      <c r="X80" s="113">
        <f t="shared" si="13"/>
        <v>1624.90212</v>
      </c>
      <c r="Y80" s="113">
        <f t="shared" si="14"/>
        <v>1852.25468</v>
      </c>
      <c r="Z80" s="114">
        <f t="shared" si="15"/>
        <v>6399.3058799999999</v>
      </c>
      <c r="AA80" s="114">
        <f t="shared" si="3"/>
        <v>13373.68</v>
      </c>
      <c r="AB80" s="115">
        <v>13373.68</v>
      </c>
      <c r="AC80" s="116">
        <f t="shared" si="16"/>
        <v>3948.7622945560906</v>
      </c>
      <c r="AD80" s="116">
        <f t="shared" si="17"/>
        <v>2757.0045098594205</v>
      </c>
      <c r="AE80" s="116">
        <f t="shared" si="18"/>
        <v>3115.9829002736105</v>
      </c>
      <c r="AF80" s="116">
        <f t="shared" si="19"/>
        <v>3551.930295310879</v>
      </c>
      <c r="AG80" s="117"/>
      <c r="AH80" s="222">
        <f t="shared" si="4"/>
        <v>13373.68</v>
      </c>
    </row>
    <row r="81" spans="1:34" s="43" customFormat="1" ht="12" x14ac:dyDescent="0.2">
      <c r="A81" s="19" t="s">
        <v>102</v>
      </c>
      <c r="B81" s="9"/>
      <c r="C81" s="8" t="s">
        <v>103</v>
      </c>
      <c r="D81" s="8" t="s">
        <v>10</v>
      </c>
      <c r="E81" s="10">
        <f>+E82</f>
        <v>1200</v>
      </c>
      <c r="F81" s="10">
        <f>+F82</f>
        <v>1200</v>
      </c>
      <c r="G81" s="10">
        <f>+G82</f>
        <v>0</v>
      </c>
      <c r="H81" s="10">
        <f>+H82</f>
        <v>0</v>
      </c>
      <c r="I81" s="10">
        <f>+I82</f>
        <v>0</v>
      </c>
      <c r="J81" s="39"/>
      <c r="K81" s="256">
        <f>+K82</f>
        <v>995.63</v>
      </c>
      <c r="L81" s="155">
        <f>+L82</f>
        <v>204.37</v>
      </c>
      <c r="M81" s="156">
        <v>0</v>
      </c>
      <c r="N81" s="157">
        <v>50</v>
      </c>
      <c r="O81" s="158">
        <f t="shared" si="30"/>
        <v>50</v>
      </c>
      <c r="P81" s="109">
        <f t="shared" si="24"/>
        <v>7.7</v>
      </c>
      <c r="Q81" s="110">
        <f t="shared" si="25"/>
        <v>5.375</v>
      </c>
      <c r="R81" s="110">
        <f t="shared" si="26"/>
        <v>6.0750000000000002</v>
      </c>
      <c r="S81" s="110">
        <f t="shared" si="27"/>
        <v>6.9249999999999998</v>
      </c>
      <c r="T81" s="111">
        <f t="shared" si="28"/>
        <v>23.925000000000001</v>
      </c>
      <c r="U81" s="111">
        <f t="shared" si="22"/>
        <v>50</v>
      </c>
      <c r="V81" s="112">
        <f t="shared" si="29"/>
        <v>7.7</v>
      </c>
      <c r="W81" s="113">
        <f t="shared" si="12"/>
        <v>5.375</v>
      </c>
      <c r="X81" s="113">
        <f t="shared" si="13"/>
        <v>6.0750000000000002</v>
      </c>
      <c r="Y81" s="113">
        <f t="shared" si="14"/>
        <v>6.9249999999999998</v>
      </c>
      <c r="Z81" s="114">
        <f t="shared" si="15"/>
        <v>23.925000000000001</v>
      </c>
      <c r="AA81" s="114">
        <f t="shared" si="3"/>
        <v>50</v>
      </c>
      <c r="AB81" s="115">
        <v>50</v>
      </c>
      <c r="AC81" s="116">
        <f t="shared" si="16"/>
        <v>14.763185206151524</v>
      </c>
      <c r="AD81" s="116">
        <f t="shared" si="17"/>
        <v>10.307576186432682</v>
      </c>
      <c r="AE81" s="116">
        <f t="shared" si="18"/>
        <v>11.649683932446457</v>
      </c>
      <c r="AF81" s="116">
        <f t="shared" si="19"/>
        <v>13.279554674969338</v>
      </c>
      <c r="AG81" s="117"/>
      <c r="AH81" s="222">
        <f t="shared" si="4"/>
        <v>50.000000000000007</v>
      </c>
    </row>
    <row r="82" spans="1:34" s="43" customFormat="1" ht="14.45" hidden="1" customHeight="1" x14ac:dyDescent="0.2">
      <c r="A82" s="93"/>
      <c r="B82" s="8" t="s">
        <v>96</v>
      </c>
      <c r="C82" s="8" t="s">
        <v>97</v>
      </c>
      <c r="D82" s="8"/>
      <c r="E82" s="10">
        <v>1200</v>
      </c>
      <c r="F82" s="10">
        <v>1200</v>
      </c>
      <c r="G82" s="10">
        <v>0</v>
      </c>
      <c r="H82" s="10">
        <v>0</v>
      </c>
      <c r="I82" s="10">
        <v>0</v>
      </c>
      <c r="J82" s="39"/>
      <c r="K82" s="256">
        <f>+F82-G82-H82-I82-L82</f>
        <v>995.63</v>
      </c>
      <c r="L82" s="155">
        <v>204.37</v>
      </c>
      <c r="M82" s="156">
        <v>0</v>
      </c>
      <c r="N82" s="157"/>
      <c r="O82" s="158">
        <f t="shared" si="30"/>
        <v>0</v>
      </c>
      <c r="P82" s="109">
        <f t="shared" si="24"/>
        <v>0</v>
      </c>
      <c r="Q82" s="110">
        <f t="shared" si="25"/>
        <v>0</v>
      </c>
      <c r="R82" s="110">
        <f t="shared" si="26"/>
        <v>0</v>
      </c>
      <c r="S82" s="110">
        <f t="shared" si="27"/>
        <v>0</v>
      </c>
      <c r="T82" s="111">
        <f t="shared" si="28"/>
        <v>0</v>
      </c>
      <c r="U82" s="111">
        <f t="shared" si="22"/>
        <v>0</v>
      </c>
      <c r="V82" s="112">
        <f t="shared" si="29"/>
        <v>0</v>
      </c>
      <c r="W82" s="113">
        <f t="shared" si="12"/>
        <v>0</v>
      </c>
      <c r="X82" s="113">
        <f t="shared" si="13"/>
        <v>0</v>
      </c>
      <c r="Y82" s="113">
        <f t="shared" si="14"/>
        <v>0</v>
      </c>
      <c r="Z82" s="114">
        <f t="shared" si="15"/>
        <v>0</v>
      </c>
      <c r="AA82" s="114">
        <f t="shared" si="3"/>
        <v>0</v>
      </c>
      <c r="AB82" s="115">
        <v>0</v>
      </c>
      <c r="AC82" s="116">
        <f t="shared" si="16"/>
        <v>0</v>
      </c>
      <c r="AD82" s="116">
        <f t="shared" si="17"/>
        <v>0</v>
      </c>
      <c r="AE82" s="116">
        <f t="shared" si="18"/>
        <v>0</v>
      </c>
      <c r="AF82" s="116">
        <f t="shared" si="19"/>
        <v>0</v>
      </c>
      <c r="AG82" s="117"/>
      <c r="AH82" s="222">
        <f t="shared" si="4"/>
        <v>0</v>
      </c>
    </row>
    <row r="83" spans="1:34" s="43" customFormat="1" ht="12" x14ac:dyDescent="0.2">
      <c r="A83" s="19" t="s">
        <v>104</v>
      </c>
      <c r="B83" s="9"/>
      <c r="C83" s="8" t="s">
        <v>50</v>
      </c>
      <c r="D83" s="8" t="s">
        <v>10</v>
      </c>
      <c r="E83" s="10">
        <f>+E84</f>
        <v>2981.23</v>
      </c>
      <c r="F83" s="10">
        <f>+F84</f>
        <v>1269.0999999999999</v>
      </c>
      <c r="G83" s="10">
        <f>+G84</f>
        <v>251.78</v>
      </c>
      <c r="H83" s="10">
        <f>+H84</f>
        <v>0</v>
      </c>
      <c r="I83" s="10">
        <f>+I84</f>
        <v>0</v>
      </c>
      <c r="J83" s="39"/>
      <c r="K83" s="256">
        <f>+K84</f>
        <v>788.75</v>
      </c>
      <c r="L83" s="155">
        <f>+L84</f>
        <v>228.57</v>
      </c>
      <c r="M83" s="156">
        <v>286.89</v>
      </c>
      <c r="N83" s="157">
        <v>50</v>
      </c>
      <c r="O83" s="158">
        <f t="shared" si="30"/>
        <v>336.89</v>
      </c>
      <c r="P83" s="109">
        <f t="shared" si="24"/>
        <v>51.881059999999998</v>
      </c>
      <c r="Q83" s="110">
        <f t="shared" si="25"/>
        <v>36.215674999999997</v>
      </c>
      <c r="R83" s="110">
        <f t="shared" si="26"/>
        <v>40.932134999999995</v>
      </c>
      <c r="S83" s="110">
        <f t="shared" si="27"/>
        <v>46.659264999999998</v>
      </c>
      <c r="T83" s="111">
        <f t="shared" si="28"/>
        <v>161.201865</v>
      </c>
      <c r="U83" s="111">
        <f t="shared" si="22"/>
        <v>336.89</v>
      </c>
      <c r="V83" s="112">
        <f t="shared" si="29"/>
        <v>51.881059999999998</v>
      </c>
      <c r="W83" s="113">
        <f t="shared" si="12"/>
        <v>36.215674999999997</v>
      </c>
      <c r="X83" s="113">
        <f t="shared" si="13"/>
        <v>40.932134999999995</v>
      </c>
      <c r="Y83" s="113">
        <f t="shared" si="14"/>
        <v>46.659264999999998</v>
      </c>
      <c r="Z83" s="114">
        <f t="shared" si="15"/>
        <v>161.201865</v>
      </c>
      <c r="AA83" s="114">
        <f t="shared" ref="AA83:AA93" si="31">+V83+W83+X83+Y83+Z83</f>
        <v>336.89</v>
      </c>
      <c r="AB83" s="115">
        <v>336.89</v>
      </c>
      <c r="AC83" s="116">
        <f t="shared" si="16"/>
        <v>99.471389282007735</v>
      </c>
      <c r="AD83" s="116">
        <f t="shared" si="17"/>
        <v>69.450386828946122</v>
      </c>
      <c r="AE83" s="116">
        <f t="shared" si="18"/>
        <v>78.493240400037735</v>
      </c>
      <c r="AF83" s="116">
        <f t="shared" si="19"/>
        <v>89.474983489008409</v>
      </c>
      <c r="AG83" s="117"/>
      <c r="AH83" s="222">
        <f t="shared" ref="AH83:AH93" si="32">+AC83+AD83+AE83+AF83+AG83</f>
        <v>336.89</v>
      </c>
    </row>
    <row r="84" spans="1:34" s="43" customFormat="1" ht="14.45" hidden="1" customHeight="1" x14ac:dyDescent="0.2">
      <c r="A84" s="93"/>
      <c r="B84" s="8" t="s">
        <v>49</v>
      </c>
      <c r="C84" s="8" t="s">
        <v>50</v>
      </c>
      <c r="D84" s="8"/>
      <c r="E84" s="10">
        <v>2981.23</v>
      </c>
      <c r="F84" s="10">
        <v>1269.0999999999999</v>
      </c>
      <c r="G84" s="10">
        <v>251.78</v>
      </c>
      <c r="H84" s="10">
        <v>0</v>
      </c>
      <c r="I84" s="10">
        <v>0</v>
      </c>
      <c r="J84" s="39"/>
      <c r="K84" s="256">
        <f>+F84-G84-H84-I84-L84</f>
        <v>788.75</v>
      </c>
      <c r="L84" s="155">
        <v>228.57</v>
      </c>
      <c r="M84" s="156">
        <v>286.89</v>
      </c>
      <c r="N84" s="157"/>
      <c r="O84" s="158">
        <f t="shared" si="30"/>
        <v>286.89</v>
      </c>
      <c r="P84" s="109">
        <f t="shared" si="24"/>
        <v>44.181059999999995</v>
      </c>
      <c r="Q84" s="110">
        <f t="shared" si="25"/>
        <v>30.840674999999997</v>
      </c>
      <c r="R84" s="110">
        <f t="shared" si="26"/>
        <v>34.857135</v>
      </c>
      <c r="S84" s="110">
        <f t="shared" si="27"/>
        <v>39.734264999999994</v>
      </c>
      <c r="T84" s="111">
        <f t="shared" si="28"/>
        <v>137.27686499999999</v>
      </c>
      <c r="U84" s="111">
        <f t="shared" si="22"/>
        <v>286.89</v>
      </c>
      <c r="V84" s="112">
        <f t="shared" si="29"/>
        <v>44.181059999999995</v>
      </c>
      <c r="W84" s="113">
        <f t="shared" si="12"/>
        <v>30.840674999999997</v>
      </c>
      <c r="X84" s="113">
        <f t="shared" si="13"/>
        <v>34.857135</v>
      </c>
      <c r="Y84" s="113">
        <f t="shared" si="14"/>
        <v>39.734264999999994</v>
      </c>
      <c r="Z84" s="114">
        <f t="shared" si="15"/>
        <v>137.27686499999999</v>
      </c>
      <c r="AA84" s="114">
        <f t="shared" si="31"/>
        <v>286.89</v>
      </c>
      <c r="AB84" s="115">
        <v>286.89</v>
      </c>
      <c r="AC84" s="116">
        <f t="shared" si="16"/>
        <v>84.708204075856216</v>
      </c>
      <c r="AD84" s="116">
        <f t="shared" si="17"/>
        <v>59.142810642513439</v>
      </c>
      <c r="AE84" s="116">
        <f t="shared" si="18"/>
        <v>66.843556467591284</v>
      </c>
      <c r="AF84" s="116">
        <f t="shared" si="19"/>
        <v>76.195428814039076</v>
      </c>
      <c r="AG84" s="117"/>
      <c r="AH84" s="222">
        <f t="shared" si="32"/>
        <v>286.89</v>
      </c>
    </row>
    <row r="85" spans="1:34" s="43" customFormat="1" ht="12.75" thickBot="1" x14ac:dyDescent="0.25">
      <c r="A85" s="273" t="s">
        <v>105</v>
      </c>
      <c r="B85" s="274"/>
      <c r="C85" s="267" t="s">
        <v>106</v>
      </c>
      <c r="D85" s="267" t="s">
        <v>10</v>
      </c>
      <c r="E85" s="268">
        <f>+E86</f>
        <v>600</v>
      </c>
      <c r="F85" s="268">
        <f>+F86</f>
        <v>600</v>
      </c>
      <c r="G85" s="268">
        <f>+G86</f>
        <v>0</v>
      </c>
      <c r="H85" s="268">
        <f>+H86</f>
        <v>0</v>
      </c>
      <c r="I85" s="268">
        <f>+I86</f>
        <v>0</v>
      </c>
      <c r="J85" s="275"/>
      <c r="K85" s="256">
        <f>+K86</f>
        <v>270.95999999999998</v>
      </c>
      <c r="L85" s="163">
        <f>+L86</f>
        <v>329.04</v>
      </c>
      <c r="M85" s="164">
        <v>219.36</v>
      </c>
      <c r="N85" s="165">
        <v>50</v>
      </c>
      <c r="O85" s="166">
        <f t="shared" si="30"/>
        <v>269.36</v>
      </c>
      <c r="P85" s="126">
        <f t="shared" si="24"/>
        <v>41.481439999999999</v>
      </c>
      <c r="Q85" s="127">
        <f t="shared" si="25"/>
        <v>28.956200000000003</v>
      </c>
      <c r="R85" s="127">
        <f t="shared" si="26"/>
        <v>32.727240000000002</v>
      </c>
      <c r="S85" s="127">
        <f t="shared" si="27"/>
        <v>37.306359999999998</v>
      </c>
      <c r="T85" s="128">
        <f t="shared" si="28"/>
        <v>128.88875999999999</v>
      </c>
      <c r="U85" s="128">
        <f t="shared" si="22"/>
        <v>269.36</v>
      </c>
      <c r="V85" s="129">
        <f t="shared" si="29"/>
        <v>41.481439999999999</v>
      </c>
      <c r="W85" s="130">
        <f t="shared" si="12"/>
        <v>28.956200000000003</v>
      </c>
      <c r="X85" s="130">
        <f t="shared" si="13"/>
        <v>32.727240000000002</v>
      </c>
      <c r="Y85" s="130">
        <f t="shared" si="14"/>
        <v>37.306359999999998</v>
      </c>
      <c r="Z85" s="131">
        <f t="shared" si="15"/>
        <v>128.88875999999999</v>
      </c>
      <c r="AA85" s="131">
        <f t="shared" si="31"/>
        <v>269.36</v>
      </c>
      <c r="AB85" s="132">
        <v>269.36</v>
      </c>
      <c r="AC85" s="133">
        <f t="shared" si="16"/>
        <v>79.532231342579493</v>
      </c>
      <c r="AD85" s="133">
        <f t="shared" si="17"/>
        <v>55.528974431550154</v>
      </c>
      <c r="AE85" s="133">
        <f t="shared" si="18"/>
        <v>62.759177280875555</v>
      </c>
      <c r="AF85" s="133">
        <f t="shared" si="19"/>
        <v>71.539616944994819</v>
      </c>
      <c r="AG85" s="134"/>
      <c r="AH85" s="223">
        <f t="shared" si="32"/>
        <v>269.36</v>
      </c>
    </row>
    <row r="86" spans="1:34" s="43" customFormat="1" ht="14.45" hidden="1" customHeight="1" x14ac:dyDescent="0.2">
      <c r="A86" s="249"/>
      <c r="B86" s="239" t="s">
        <v>84</v>
      </c>
      <c r="C86" s="239" t="s">
        <v>85</v>
      </c>
      <c r="D86" s="239"/>
      <c r="E86" s="169">
        <v>600</v>
      </c>
      <c r="F86" s="169">
        <v>600</v>
      </c>
      <c r="G86" s="169">
        <v>0</v>
      </c>
      <c r="H86" s="169">
        <v>0</v>
      </c>
      <c r="I86" s="169">
        <v>0</v>
      </c>
      <c r="J86" s="154"/>
      <c r="K86" s="107">
        <f>+F86-G86-H86-I86-L86</f>
        <v>270.95999999999998</v>
      </c>
      <c r="L86" s="167">
        <v>329.04</v>
      </c>
      <c r="M86" s="168">
        <v>219.36</v>
      </c>
      <c r="N86" s="169"/>
      <c r="O86" s="170">
        <f t="shared" si="30"/>
        <v>219.36</v>
      </c>
      <c r="P86" s="171">
        <f t="shared" si="24"/>
        <v>33.781440000000003</v>
      </c>
      <c r="Q86" s="172">
        <f t="shared" si="25"/>
        <v>23.581200000000003</v>
      </c>
      <c r="R86" s="172">
        <f t="shared" si="26"/>
        <v>26.652240000000003</v>
      </c>
      <c r="S86" s="172">
        <f t="shared" si="27"/>
        <v>30.381360000000001</v>
      </c>
      <c r="T86" s="173">
        <f t="shared" si="28"/>
        <v>104.96376000000001</v>
      </c>
      <c r="U86" s="173">
        <f t="shared" si="22"/>
        <v>219.36</v>
      </c>
      <c r="V86" s="174">
        <f>+T86*$P$15/100</f>
        <v>16.164419040000002</v>
      </c>
      <c r="W86" s="175">
        <f>+T86*$Q$15/100</f>
        <v>11.283604199999999</v>
      </c>
      <c r="X86" s="175">
        <f>+T86*$R$15/100</f>
        <v>12.753096840000001</v>
      </c>
      <c r="Y86" s="175">
        <f>+T86*$S$15/100</f>
        <v>14.537480760000001</v>
      </c>
      <c r="Z86" s="176">
        <f>+T86*$T$15/100</f>
        <v>50.225159160000004</v>
      </c>
      <c r="AA86" s="176">
        <f t="shared" si="31"/>
        <v>104.96376000000001</v>
      </c>
      <c r="AB86" s="177">
        <f t="shared" ref="AB86" si="33">+Y86+Z86</f>
        <v>64.762639919999998</v>
      </c>
      <c r="AC86" s="178">
        <f>+Z86*$P$15/100</f>
        <v>7.7346745106400014</v>
      </c>
      <c r="AD86" s="178">
        <f>+Z86*$Q$15/100</f>
        <v>5.3992046096999999</v>
      </c>
      <c r="AE86" s="178">
        <f>+Z86*$R$15/100</f>
        <v>6.1023568379400004</v>
      </c>
      <c r="AF86" s="178">
        <f>+Z86*$S$15/100</f>
        <v>6.9561845436600001</v>
      </c>
      <c r="AG86" s="179"/>
      <c r="AH86" s="179">
        <f t="shared" si="32"/>
        <v>26.192420501940003</v>
      </c>
    </row>
    <row r="87" spans="1:34" s="58" customFormat="1" ht="14.45" customHeight="1" thickBot="1" x14ac:dyDescent="0.25">
      <c r="A87" s="253"/>
      <c r="B87" s="236"/>
      <c r="C87" s="236"/>
      <c r="D87" s="18"/>
      <c r="E87" s="106"/>
      <c r="F87" s="106"/>
      <c r="G87" s="106"/>
      <c r="H87" s="106"/>
      <c r="I87" s="106"/>
      <c r="J87" s="41"/>
      <c r="K87" s="135"/>
      <c r="L87" s="180"/>
      <c r="M87" s="181"/>
      <c r="N87" s="182"/>
      <c r="O87" s="183"/>
      <c r="P87" s="184"/>
      <c r="Q87" s="185"/>
      <c r="R87" s="185"/>
      <c r="S87" s="185"/>
      <c r="T87" s="186"/>
      <c r="U87" s="186"/>
      <c r="V87" s="184"/>
      <c r="W87" s="185"/>
      <c r="X87" s="185"/>
      <c r="Y87" s="185"/>
      <c r="Z87" s="186"/>
      <c r="AA87" s="186">
        <f t="shared" si="31"/>
        <v>0</v>
      </c>
      <c r="AB87" s="184"/>
      <c r="AC87" s="185"/>
      <c r="AD87" s="185"/>
      <c r="AE87" s="185"/>
      <c r="AF87" s="185"/>
      <c r="AG87" s="186"/>
      <c r="AH87" s="186">
        <f t="shared" si="32"/>
        <v>0</v>
      </c>
    </row>
    <row r="88" spans="1:34" s="32" customFormat="1" ht="12.75" thickBot="1" x14ac:dyDescent="0.25">
      <c r="A88" s="244"/>
      <c r="B88" s="245"/>
      <c r="C88" s="242"/>
      <c r="D88" s="252"/>
      <c r="E88" s="187" t="e">
        <f>+E17</f>
        <v>#REF!</v>
      </c>
      <c r="F88" s="187" t="e">
        <f>+F17</f>
        <v>#REF!</v>
      </c>
      <c r="G88" s="187" t="e">
        <f>+G17</f>
        <v>#REF!</v>
      </c>
      <c r="H88" s="187" t="e">
        <f>+H17</f>
        <v>#REF!</v>
      </c>
      <c r="I88" s="187" t="e">
        <f>+I17</f>
        <v>#REF!</v>
      </c>
      <c r="J88" s="140" t="s">
        <v>133</v>
      </c>
      <c r="K88" s="188" t="e">
        <f>+F88-G88-H88-I88-J88</f>
        <v>#REF!</v>
      </c>
      <c r="L88" s="59">
        <f>+L19+L47+L49+L53++L51+L55+L57+L59+L61+L63+L65+L67+L69+L71+L73+L75+L77+L79+L81+L83+L85</f>
        <v>273088.51</v>
      </c>
      <c r="M88" s="61">
        <f>+M19+M47+M49+M53++M51+M55+M57+M59+M61+M63+M65+M67+M69+M71+M73+M75+M77+M79+M81+M83+M85</f>
        <v>211632.06</v>
      </c>
      <c r="N88" s="62">
        <f>+N19+N47+N49+N53++N51+N55+N57+N59+N61+N63+N65+N67+N69+N71+N73+N75+N77+N79+N81+N83+N85</f>
        <v>77787.862500000003</v>
      </c>
      <c r="O88" s="63">
        <f>+M88+N88</f>
        <v>289419.92249999999</v>
      </c>
      <c r="P88" s="64">
        <f>+P19+P47+P49+P53++P51+P55+P57+P59+P61+P63+P65+P67+P69+P71+P73+P75+P77+P79+P81+P83+P85</f>
        <v>44570.668064999998</v>
      </c>
      <c r="Q88" s="65">
        <f>+Q19+Q47+Q49+Q53++Q51+Q55+Q57+Q59+Q61+Q63+Q65+Q67+Q69+Q71+Q73+Q75+Q77+Q79+Q81+Q83+Q85</f>
        <v>31112.641668750002</v>
      </c>
      <c r="R88" s="65">
        <f>+R19+R47+R49+R53++R51+R55+R57+R59+R61+R63+R65+R67+R69+R71+R73+R75+R77+R79+R81+R83+R85</f>
        <v>35164.520583750003</v>
      </c>
      <c r="S88" s="65">
        <f>+S19+S47+S49+S53++S51+S55+S57+S59+S61+S63+S65+S67+S69+S71+S73+S75+S77+S79+S81+S83+S85</f>
        <v>40084.659266250026</v>
      </c>
      <c r="T88" s="66">
        <f>+T19+T47+T49+T53++T51+T55+T57+T59+T61+T63+T65+T67+T69+T71+T73+T75+T77+T79+T81+T83+T85</f>
        <v>138487.43291624996</v>
      </c>
      <c r="U88" s="66">
        <f t="shared" si="22"/>
        <v>289419.92249999999</v>
      </c>
      <c r="V88" s="67">
        <f>+V19+V47+V49+V53++V51+V55+V57+V59+V61+V63+V65+V67+V69+V71+V73+V75+V77+V79+V81+V83+V85</f>
        <v>44570.668064999998</v>
      </c>
      <c r="W88" s="68">
        <f>+W19+W47+W49+W53++W51+W55+W57+W59+W61+W63+W65+W67+W69+W71+W73+W75+W77+W79+W81+W83+W85</f>
        <v>31112.641668750002</v>
      </c>
      <c r="X88" s="68">
        <f>+X19+X47+X49+X53++X51+X55+X57+X59+X61+X63+X65+X67+X69+X71+X73+X75+X77+X79+X81+X83+X85</f>
        <v>35164.520583750003</v>
      </c>
      <c r="Y88" s="68">
        <f>+Y19+Y47+Y49+Y53++Y51+Y55+Y57+Y59+Y61+Y63+Y65+Y67+Y69+Y71+Y73+Y75+Y77+Y79+Y81+Y83+Y85</f>
        <v>40084.659266250026</v>
      </c>
      <c r="Z88" s="69">
        <f>+Z19+Z47+Z49+Z53++Z51+Z55+Z57+Z59+Z61+Z63+Z65+Z67+Z69+Z71+Z73+Z75+Z77+Z79+Z81+Z83+Z85</f>
        <v>138487.43291624996</v>
      </c>
      <c r="AA88" s="69">
        <f t="shared" si="31"/>
        <v>289419.92249999999</v>
      </c>
      <c r="AB88" s="70">
        <f>+AB19+AB47+AB49+AB53++AB51+AB55+AB57+AB59+AB61+AB63+AB65+AB67+AB69+AB71+AB73+AB75+AB77+AB79+AB81+AB83+AB85</f>
        <v>222096.84499999997</v>
      </c>
      <c r="AC88" s="71">
        <f>+AC19+AC47+AC49+AC53++AC51+AC55+AC57+AC59+AC61+AC63+AC65+AC67+AC69+AC71+AC73+AC75+AC77+AC79+AC81+AC83+AC85</f>
        <v>65577.13712873857</v>
      </c>
      <c r="AD88" s="71">
        <f>+AD19+AD47+AD49+AD53++AD51+AD55+AD57+AD59+AD61+AD63+AD65+AD67+AD69+AD71+AD73+AD75+AD77+AD79+AD81+AD83+AD85</f>
        <v>45785.603012076594</v>
      </c>
      <c r="AE88" s="71">
        <f>+AE19+AE47+AE49+AE53++AE51+AE55+AE57+AE59+AE61+AE63+AE65+AE67+AE69+AE71+AE73+AE75+AE77+AE79+AE81+AE83+AE85</f>
        <v>51747.160932871018</v>
      </c>
      <c r="AF88" s="71">
        <f>+AF19+AF47+AF49+AF53++AF51+AF55+AF57+AF59+AF61+AF63+AF65+AF67+AF69+AF71+AF73+AF75+AF77+AF79+AF81+AF83+AF85</f>
        <v>58986.943926313834</v>
      </c>
      <c r="AG88" s="72"/>
      <c r="AH88" s="215">
        <f t="shared" si="32"/>
        <v>222096.84500000003</v>
      </c>
    </row>
    <row r="89" spans="1:34" s="43" customFormat="1" ht="12" x14ac:dyDescent="0.2"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>
        <f t="shared" si="32"/>
        <v>0</v>
      </c>
    </row>
    <row r="90" spans="1:34" s="43" customFormat="1" ht="12" x14ac:dyDescent="0.2"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>
        <f t="shared" si="32"/>
        <v>0</v>
      </c>
    </row>
    <row r="91" spans="1:34" s="43" customFormat="1" ht="12.75" thickBot="1" x14ac:dyDescent="0.25">
      <c r="L91" s="189"/>
      <c r="M91" s="189"/>
      <c r="P91" s="189" t="s">
        <v>149</v>
      </c>
      <c r="T91" s="190"/>
      <c r="U91" s="190"/>
      <c r="V91" s="43" t="s">
        <v>150</v>
      </c>
      <c r="Z91" s="190"/>
      <c r="AA91" s="190"/>
      <c r="AB91" s="43" t="s">
        <v>151</v>
      </c>
      <c r="AF91" s="190"/>
      <c r="AH91" s="189">
        <f t="shared" si="32"/>
        <v>0</v>
      </c>
    </row>
    <row r="92" spans="1:34" s="43" customFormat="1" ht="12" x14ac:dyDescent="0.2">
      <c r="O92" s="191" t="s">
        <v>114</v>
      </c>
      <c r="P92" s="192">
        <f>+(P19*0.5)*1.2</f>
        <v>21914.576606999999</v>
      </c>
      <c r="Q92" s="193">
        <f>+(Q19*0.5)*1.2</f>
        <v>15297.512891249999</v>
      </c>
      <c r="R92" s="193">
        <f>+(R19*0.5)*1.2</f>
        <v>17289.747128250001</v>
      </c>
      <c r="S92" s="193">
        <f>+(S19*0.5)*1.2</f>
        <v>19708.888701750002</v>
      </c>
      <c r="T92" s="194">
        <f>+(T19*0.5)*1.2</f>
        <v>68091.720171749999</v>
      </c>
      <c r="U92" s="194">
        <f t="shared" si="22"/>
        <v>142302.4455</v>
      </c>
      <c r="V92" s="195">
        <f>+(V19*0.35)*1.2</f>
        <v>15340.203624899999</v>
      </c>
      <c r="W92" s="196">
        <f>+(W19*0.35)*1.2</f>
        <v>10708.259023874998</v>
      </c>
      <c r="X92" s="196">
        <f>+(X19*0.35)*1.2</f>
        <v>12102.822989774999</v>
      </c>
      <c r="Y92" s="196">
        <f>+(Y19*0.35)*1.2</f>
        <v>13796.222091225</v>
      </c>
      <c r="Z92" s="197">
        <f>+(Z19*0.35)*1.2</f>
        <v>47664.204120224997</v>
      </c>
      <c r="AA92" s="197">
        <f t="shared" si="31"/>
        <v>99611.711849999992</v>
      </c>
      <c r="AB92" s="198"/>
      <c r="AC92" s="199">
        <f>+(AC88*0.35)*1.2</f>
        <v>27542.397594070197</v>
      </c>
      <c r="AD92" s="199">
        <f t="shared" ref="AD92:AF92" si="34">+(AD88*0.35)*1.2</f>
        <v>19229.953265072167</v>
      </c>
      <c r="AE92" s="199">
        <f t="shared" si="34"/>
        <v>21733.807591805828</v>
      </c>
      <c r="AF92" s="199">
        <f t="shared" si="34"/>
        <v>24774.516449051811</v>
      </c>
      <c r="AG92" s="200"/>
      <c r="AH92" s="216">
        <f t="shared" si="32"/>
        <v>93280.674899999998</v>
      </c>
    </row>
    <row r="93" spans="1:34" s="43" customFormat="1" ht="12.75" thickBot="1" x14ac:dyDescent="0.25">
      <c r="O93" s="201" t="s">
        <v>113</v>
      </c>
      <c r="P93" s="202">
        <f>+P88-P92</f>
        <v>22656.091457999999</v>
      </c>
      <c r="Q93" s="203">
        <f t="shared" ref="Q93:T93" si="35">+Q88-Q92</f>
        <v>15815.128777500004</v>
      </c>
      <c r="R93" s="203">
        <f t="shared" si="35"/>
        <v>17874.773455500002</v>
      </c>
      <c r="S93" s="203">
        <f t="shared" si="35"/>
        <v>20375.770564500024</v>
      </c>
      <c r="T93" s="204">
        <f t="shared" si="35"/>
        <v>70395.712744499964</v>
      </c>
      <c r="U93" s="204">
        <f t="shared" si="22"/>
        <v>147117.47700000001</v>
      </c>
      <c r="V93" s="205">
        <f>+V88-V92</f>
        <v>29230.464440099997</v>
      </c>
      <c r="W93" s="206">
        <f t="shared" ref="W93:Z93" si="36">+W88-W92</f>
        <v>20404.382644875004</v>
      </c>
      <c r="X93" s="206">
        <f t="shared" si="36"/>
        <v>23061.697593975005</v>
      </c>
      <c r="Y93" s="206">
        <f t="shared" si="36"/>
        <v>26288.437175025028</v>
      </c>
      <c r="Z93" s="207">
        <f t="shared" si="36"/>
        <v>90823.228796024967</v>
      </c>
      <c r="AA93" s="207">
        <f t="shared" si="31"/>
        <v>189808.21065000002</v>
      </c>
      <c r="AB93" s="208"/>
      <c r="AC93" s="209">
        <f t="shared" ref="AC93" si="37">+AC88-AC92</f>
        <v>38034.739534668377</v>
      </c>
      <c r="AD93" s="209">
        <f t="shared" ref="AD93" si="38">+AD88-AD92</f>
        <v>26555.649747004427</v>
      </c>
      <c r="AE93" s="209">
        <f t="shared" ref="AE93" si="39">+AE88-AE92</f>
        <v>30013.353341065191</v>
      </c>
      <c r="AF93" s="209">
        <f t="shared" ref="AF93" si="40">+AF88-AF92</f>
        <v>34212.427477262027</v>
      </c>
      <c r="AG93" s="210"/>
      <c r="AH93" s="134">
        <f t="shared" si="32"/>
        <v>128816.17010000002</v>
      </c>
    </row>
    <row r="94" spans="1:34" s="43" customFormat="1" ht="12" x14ac:dyDescent="0.2">
      <c r="AH94" s="189"/>
    </row>
  </sheetData>
  <mergeCells count="7">
    <mergeCell ref="A36:A44"/>
    <mergeCell ref="C36:C44"/>
    <mergeCell ref="AH19:AH34"/>
    <mergeCell ref="P12:T12"/>
    <mergeCell ref="V12:Z12"/>
    <mergeCell ref="AC12:AG12"/>
    <mergeCell ref="AG19:AG3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9"/>
  <sheetViews>
    <sheetView workbookViewId="0">
      <selection activeCell="M30" sqref="M30"/>
    </sheetView>
  </sheetViews>
  <sheetFormatPr defaultRowHeight="15" x14ac:dyDescent="0.25"/>
  <cols>
    <col min="1" max="1" width="19.140625" customWidth="1"/>
    <col min="2" max="9" width="11.7109375" bestFit="1" customWidth="1"/>
    <col min="10" max="10" width="12.7109375" bestFit="1" customWidth="1"/>
  </cols>
  <sheetData>
    <row r="4" spans="1:10" x14ac:dyDescent="0.25">
      <c r="A4" s="12"/>
      <c r="B4" s="12"/>
      <c r="C4" s="12"/>
      <c r="D4" s="12"/>
      <c r="E4" s="12"/>
      <c r="F4" s="12"/>
      <c r="G4" s="12"/>
      <c r="H4" s="12"/>
      <c r="I4" s="12"/>
      <c r="J4" s="12" t="s">
        <v>129</v>
      </c>
    </row>
    <row r="5" spans="1:10" x14ac:dyDescent="0.25">
      <c r="A5" s="13">
        <v>43070</v>
      </c>
      <c r="B5" s="14">
        <v>1863.15</v>
      </c>
      <c r="C5" s="14">
        <v>1732.76</v>
      </c>
      <c r="D5" s="14">
        <v>3433.42</v>
      </c>
      <c r="E5" s="14">
        <v>1895.5</v>
      </c>
      <c r="F5" s="14">
        <v>3522.26</v>
      </c>
      <c r="G5" s="14">
        <v>1644.47</v>
      </c>
      <c r="H5" s="14">
        <v>1769.26</v>
      </c>
      <c r="I5" s="14">
        <v>1476.79</v>
      </c>
    </row>
    <row r="6" spans="1:10" x14ac:dyDescent="0.25">
      <c r="A6" s="13">
        <v>43101</v>
      </c>
      <c r="B6" s="14">
        <v>1727.14</v>
      </c>
      <c r="C6" s="14">
        <v>1761.17</v>
      </c>
      <c r="D6" s="14">
        <v>3448.64</v>
      </c>
      <c r="E6" s="14">
        <v>1882.68</v>
      </c>
      <c r="F6" s="14">
        <v>3627.62</v>
      </c>
      <c r="G6" s="14">
        <v>1669.73</v>
      </c>
      <c r="H6" s="14">
        <v>1794.48</v>
      </c>
      <c r="I6" s="14">
        <v>1565.33</v>
      </c>
    </row>
    <row r="7" spans="1:10" x14ac:dyDescent="0.25">
      <c r="A7" s="13">
        <v>43132</v>
      </c>
      <c r="B7" s="14">
        <v>1883.97</v>
      </c>
      <c r="C7" s="14">
        <v>1765.6</v>
      </c>
      <c r="D7" s="14">
        <v>3448.64</v>
      </c>
      <c r="E7" s="14">
        <v>1885.94</v>
      </c>
      <c r="F7" s="14">
        <v>3564.55</v>
      </c>
      <c r="G7" s="14">
        <v>1669.73</v>
      </c>
      <c r="H7" s="14">
        <v>1794.47</v>
      </c>
      <c r="I7" s="14">
        <v>1557.75</v>
      </c>
    </row>
    <row r="8" spans="1:10" x14ac:dyDescent="0.25">
      <c r="A8" s="13">
        <v>43160</v>
      </c>
      <c r="B8" s="14">
        <v>1803.66</v>
      </c>
      <c r="C8" s="14">
        <v>1769.63</v>
      </c>
      <c r="D8" s="14">
        <v>3460.02</v>
      </c>
      <c r="E8" s="14">
        <v>1903.79</v>
      </c>
      <c r="F8" s="14">
        <v>3607.89</v>
      </c>
      <c r="G8" s="14">
        <v>1664.45</v>
      </c>
      <c r="H8" s="14">
        <v>1813.42</v>
      </c>
      <c r="I8" s="14">
        <v>1565.33</v>
      </c>
    </row>
    <row r="9" spans="1:10" x14ac:dyDescent="0.25">
      <c r="A9" s="13">
        <v>43556</v>
      </c>
      <c r="B9" s="14">
        <v>1553.29</v>
      </c>
      <c r="C9" s="14">
        <v>1730.7</v>
      </c>
      <c r="D9" s="14">
        <v>3457.05</v>
      </c>
      <c r="E9" s="14">
        <v>1930.42</v>
      </c>
      <c r="F9" s="14">
        <v>3626.15</v>
      </c>
      <c r="G9" s="14">
        <v>1669.73</v>
      </c>
      <c r="H9" s="14">
        <v>1802.05</v>
      </c>
      <c r="I9" s="14">
        <v>1550.15</v>
      </c>
    </row>
    <row r="10" spans="1:10" x14ac:dyDescent="0.25">
      <c r="A10" s="13">
        <v>43586</v>
      </c>
      <c r="B10" s="14">
        <v>1865.68</v>
      </c>
      <c r="C10" s="14">
        <v>1762.06</v>
      </c>
      <c r="D10" s="14">
        <v>3452.44</v>
      </c>
      <c r="E10" s="14">
        <v>1881.37</v>
      </c>
      <c r="F10" s="14">
        <v>3623.9</v>
      </c>
      <c r="G10" s="14">
        <v>1606.74</v>
      </c>
      <c r="H10" s="14">
        <v>1798.27</v>
      </c>
      <c r="I10" s="14">
        <v>1565.33</v>
      </c>
    </row>
    <row r="11" spans="1:10" x14ac:dyDescent="0.25">
      <c r="A11" s="13">
        <v>43252</v>
      </c>
      <c r="B11" s="14">
        <v>1826.68</v>
      </c>
      <c r="C11" s="14">
        <v>1730.7</v>
      </c>
      <c r="D11" s="14">
        <v>3452.44</v>
      </c>
      <c r="E11" s="14">
        <v>1924.47</v>
      </c>
      <c r="F11" s="14">
        <v>3521.57</v>
      </c>
      <c r="G11" s="14">
        <v>1588.63</v>
      </c>
      <c r="H11" s="14">
        <v>1783.08</v>
      </c>
      <c r="I11" s="14">
        <v>1472.22</v>
      </c>
    </row>
    <row r="12" spans="1:10" x14ac:dyDescent="0.25">
      <c r="A12" s="13">
        <v>43282</v>
      </c>
      <c r="B12" s="14">
        <v>1705.85</v>
      </c>
      <c r="C12" s="14">
        <v>1714.34</v>
      </c>
      <c r="D12" s="14">
        <v>3415.26</v>
      </c>
      <c r="E12" s="14">
        <v>1959.99</v>
      </c>
      <c r="F12" s="14">
        <v>3638.36</v>
      </c>
      <c r="G12" s="14">
        <v>1566.93</v>
      </c>
      <c r="H12" s="14">
        <v>1625.74</v>
      </c>
      <c r="I12" s="14">
        <v>1538.55</v>
      </c>
    </row>
    <row r="13" spans="1:10" x14ac:dyDescent="0.25">
      <c r="A13" s="13">
        <v>43313</v>
      </c>
      <c r="B13" s="14">
        <v>1827.52</v>
      </c>
      <c r="C13" s="14">
        <v>1746.73</v>
      </c>
      <c r="D13" s="14">
        <v>3359.14</v>
      </c>
      <c r="E13" s="14">
        <v>1899.69</v>
      </c>
      <c r="F13" s="14">
        <v>3614.28</v>
      </c>
      <c r="G13" s="14">
        <v>1608.57</v>
      </c>
      <c r="H13" s="14">
        <v>1820.46</v>
      </c>
      <c r="I13" s="14">
        <v>1559.46</v>
      </c>
    </row>
    <row r="14" spans="1:10" x14ac:dyDescent="0.25">
      <c r="A14" s="13">
        <v>43344</v>
      </c>
      <c r="B14" s="14">
        <v>1862.57</v>
      </c>
      <c r="C14" s="14">
        <v>1764.55</v>
      </c>
      <c r="D14" s="14">
        <v>3411.98</v>
      </c>
      <c r="E14" s="14">
        <v>1874.91</v>
      </c>
      <c r="F14" s="14">
        <v>3568.29</v>
      </c>
      <c r="G14" s="14">
        <v>1599.4</v>
      </c>
      <c r="H14" s="14">
        <v>1773.91</v>
      </c>
      <c r="I14" s="14">
        <v>1519.99</v>
      </c>
    </row>
    <row r="15" spans="1:10" x14ac:dyDescent="0.25">
      <c r="A15" s="13">
        <v>43374</v>
      </c>
      <c r="B15" s="14">
        <v>1908.97</v>
      </c>
      <c r="C15" s="14">
        <v>1760.89</v>
      </c>
      <c r="D15" s="14">
        <v>3457.95</v>
      </c>
      <c r="E15" s="14">
        <v>1918.17</v>
      </c>
      <c r="F15" s="14">
        <v>3650.78</v>
      </c>
      <c r="G15" s="14">
        <v>1604.12</v>
      </c>
      <c r="H15" s="14">
        <v>1808.82</v>
      </c>
      <c r="I15" s="14">
        <v>1571.1</v>
      </c>
    </row>
    <row r="16" spans="1:10" x14ac:dyDescent="0.25">
      <c r="A16" s="13">
        <v>43405</v>
      </c>
      <c r="B16" s="14">
        <v>1568.2</v>
      </c>
      <c r="C16" s="14">
        <v>1917.26</v>
      </c>
      <c r="D16" s="14">
        <v>3457.46</v>
      </c>
      <c r="E16" s="14">
        <v>2085.37</v>
      </c>
      <c r="F16" s="14">
        <v>4173.42</v>
      </c>
      <c r="G16" s="14">
        <v>1972.95</v>
      </c>
      <c r="H16" s="14">
        <v>1789.42</v>
      </c>
      <c r="I16" s="14">
        <v>1236.3</v>
      </c>
    </row>
    <row r="17" spans="1:10" x14ac:dyDescent="0.25">
      <c r="A17" s="13" t="s">
        <v>107</v>
      </c>
      <c r="B17" s="14">
        <v>842.79</v>
      </c>
      <c r="C17" s="14">
        <v>842.79</v>
      </c>
      <c r="D17" s="14">
        <v>842.79</v>
      </c>
      <c r="E17" s="14">
        <v>842.79</v>
      </c>
      <c r="F17" s="14">
        <v>842.79</v>
      </c>
      <c r="G17" s="14">
        <v>842.79</v>
      </c>
      <c r="H17" s="14">
        <v>842.79</v>
      </c>
      <c r="I17" s="14">
        <v>842.79</v>
      </c>
    </row>
    <row r="18" spans="1:10" x14ac:dyDescent="0.25">
      <c r="A18" s="15" t="s">
        <v>127</v>
      </c>
      <c r="B18" s="16">
        <f t="shared" ref="B18:I18" si="0">SUM(B5:B17)</f>
        <v>22239.470000000005</v>
      </c>
      <c r="C18" s="16">
        <f t="shared" si="0"/>
        <v>21999.18</v>
      </c>
      <c r="D18" s="16">
        <f t="shared" si="0"/>
        <v>42097.229999999996</v>
      </c>
      <c r="E18" s="16">
        <f t="shared" si="0"/>
        <v>23885.09</v>
      </c>
      <c r="F18" s="16">
        <f t="shared" si="0"/>
        <v>44581.86</v>
      </c>
      <c r="G18" s="16">
        <f t="shared" si="0"/>
        <v>20708.240000000002</v>
      </c>
      <c r="H18" s="16">
        <f t="shared" si="0"/>
        <v>22216.17</v>
      </c>
      <c r="I18" s="16">
        <f t="shared" si="0"/>
        <v>19021.09</v>
      </c>
      <c r="J18" s="14">
        <f>+B18+C18+D18+E18+F18+G18+H18+I18</f>
        <v>216748.33</v>
      </c>
    </row>
    <row r="19" spans="1:10" s="4" customFormat="1" x14ac:dyDescent="0.25">
      <c r="A19" s="11" t="s">
        <v>125</v>
      </c>
      <c r="B19" s="14">
        <f>+(B5+B6+B7+B8+B9+B10+B11+B12+B13+B14+B15+B16)/12</f>
        <v>1783.0566666666671</v>
      </c>
      <c r="C19" s="14">
        <f t="shared" ref="C19:I19" si="1">+(C5+C6+C7+C8+C9+C10+C11+C12+C13+C14+C15+C16)/12</f>
        <v>1763.0325</v>
      </c>
      <c r="D19" s="14">
        <f t="shared" si="1"/>
        <v>3437.8699999999994</v>
      </c>
      <c r="E19" s="14">
        <f t="shared" si="1"/>
        <v>1920.1916666666666</v>
      </c>
      <c r="F19" s="14">
        <f t="shared" si="1"/>
        <v>3644.9225000000001</v>
      </c>
      <c r="G19" s="14">
        <f t="shared" si="1"/>
        <v>1655.4541666666667</v>
      </c>
      <c r="H19" s="14">
        <f t="shared" si="1"/>
        <v>1781.1149999999998</v>
      </c>
      <c r="I19" s="14">
        <f t="shared" si="1"/>
        <v>1514.8583333333333</v>
      </c>
      <c r="J19" s="3"/>
    </row>
    <row r="21" spans="1:10" s="4" customFormat="1" x14ac:dyDescent="0.25"/>
    <row r="22" spans="1:10" s="4" customForma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 t="s">
        <v>129</v>
      </c>
    </row>
    <row r="23" spans="1:10" x14ac:dyDescent="0.25">
      <c r="A23" s="13">
        <v>43435</v>
      </c>
      <c r="B23" s="14">
        <v>1400.46</v>
      </c>
      <c r="C23" s="14">
        <v>1981.23</v>
      </c>
      <c r="D23" s="14">
        <v>3460.03</v>
      </c>
      <c r="E23" s="14">
        <v>2085.04</v>
      </c>
      <c r="F23" s="14">
        <v>4268.41</v>
      </c>
      <c r="G23" s="14">
        <v>1989.75</v>
      </c>
      <c r="H23" s="14">
        <v>1770.03</v>
      </c>
      <c r="I23" s="14">
        <v>1094.8399999999999</v>
      </c>
      <c r="J23" s="3"/>
    </row>
    <row r="24" spans="1:10" x14ac:dyDescent="0.25">
      <c r="A24" s="13">
        <v>43466</v>
      </c>
      <c r="B24" s="14">
        <v>1392.85</v>
      </c>
      <c r="C24" s="14">
        <v>2059</v>
      </c>
      <c r="D24" s="14">
        <v>3267.94</v>
      </c>
      <c r="E24" s="14">
        <v>2168.59</v>
      </c>
      <c r="F24" s="14">
        <v>4461.6099999999997</v>
      </c>
      <c r="G24" s="14">
        <v>3068.07</v>
      </c>
      <c r="H24" s="14">
        <v>1814.22</v>
      </c>
      <c r="I24" s="14">
        <v>1602.25</v>
      </c>
      <c r="J24" s="1"/>
    </row>
    <row r="25" spans="1:10" x14ac:dyDescent="0.25">
      <c r="A25" s="13">
        <v>43497</v>
      </c>
      <c r="B25" s="14">
        <v>1836.42</v>
      </c>
      <c r="C25" s="14">
        <v>1906.98</v>
      </c>
      <c r="D25" s="14">
        <v>3425.6</v>
      </c>
      <c r="E25" s="14">
        <v>2013.07</v>
      </c>
      <c r="F25" s="14">
        <v>4447.1499999999996</v>
      </c>
      <c r="G25" s="14">
        <v>3067.31</v>
      </c>
      <c r="H25" s="14">
        <v>1857.2</v>
      </c>
      <c r="I25" s="14">
        <v>1610.33</v>
      </c>
    </row>
    <row r="26" spans="1:10" x14ac:dyDescent="0.25">
      <c r="A26" s="13">
        <v>43525</v>
      </c>
      <c r="B26" s="14">
        <v>1987.88</v>
      </c>
      <c r="C26" s="14">
        <v>1903.58</v>
      </c>
      <c r="D26" s="14">
        <v>3601.48</v>
      </c>
      <c r="E26" s="14">
        <v>1985.2</v>
      </c>
      <c r="F26" s="14">
        <v>3875.64</v>
      </c>
      <c r="G26" s="14">
        <v>1753.4</v>
      </c>
      <c r="H26" s="14">
        <v>1853.4</v>
      </c>
      <c r="I26" s="14">
        <v>1614.17</v>
      </c>
    </row>
    <row r="27" spans="1:10" x14ac:dyDescent="0.25">
      <c r="A27" s="13">
        <v>43556</v>
      </c>
      <c r="B27" s="14">
        <v>2031.81</v>
      </c>
      <c r="C27" s="14">
        <v>1895.96</v>
      </c>
      <c r="D27" s="14">
        <v>3586.23</v>
      </c>
      <c r="E27" s="14">
        <v>1992.83</v>
      </c>
      <c r="F27" s="14">
        <v>3570.84</v>
      </c>
      <c r="G27" s="14">
        <v>1715.71</v>
      </c>
      <c r="H27" s="14">
        <v>1705.35</v>
      </c>
      <c r="I27" s="14">
        <v>1614.15</v>
      </c>
    </row>
    <row r="28" spans="1:10" x14ac:dyDescent="0.25">
      <c r="A28" s="13">
        <v>43586</v>
      </c>
      <c r="B28" s="14">
        <v>1917.36</v>
      </c>
      <c r="C28" s="14">
        <v>1888.34</v>
      </c>
      <c r="D28" s="14">
        <v>3601.65</v>
      </c>
      <c r="E28" s="14">
        <v>1985.21</v>
      </c>
      <c r="F28" s="14">
        <v>3778.85</v>
      </c>
      <c r="G28" s="14">
        <v>1734.18</v>
      </c>
      <c r="H28" s="14">
        <v>1795.88</v>
      </c>
      <c r="I28" s="14">
        <v>1621.79</v>
      </c>
    </row>
    <row r="29" spans="1:10" x14ac:dyDescent="0.25">
      <c r="A29" s="13">
        <v>43617</v>
      </c>
      <c r="B29" s="14">
        <v>1530.44</v>
      </c>
      <c r="C29" s="14">
        <v>1868.32</v>
      </c>
      <c r="D29" s="14">
        <v>3470.27</v>
      </c>
      <c r="E29" s="14">
        <v>1985.19</v>
      </c>
      <c r="F29" s="14">
        <v>3682.8</v>
      </c>
      <c r="G29" s="14">
        <v>1998.81</v>
      </c>
      <c r="H29" s="14">
        <v>1687.09</v>
      </c>
      <c r="I29" s="14">
        <v>1876.26</v>
      </c>
    </row>
    <row r="30" spans="1:10" x14ac:dyDescent="0.25">
      <c r="A30" s="13">
        <v>43647</v>
      </c>
      <c r="B30" s="14">
        <v>1380.93</v>
      </c>
      <c r="C30" s="14">
        <v>1846.41</v>
      </c>
      <c r="D30" s="14">
        <v>3580.7</v>
      </c>
      <c r="E30" s="14">
        <v>2000.15</v>
      </c>
      <c r="F30" s="14">
        <v>4418.6000000000004</v>
      </c>
      <c r="G30" s="14">
        <v>2139.54</v>
      </c>
      <c r="H30" s="14">
        <v>1854.48</v>
      </c>
      <c r="I30" s="14">
        <v>893.13</v>
      </c>
    </row>
    <row r="31" spans="1:10" x14ac:dyDescent="0.25">
      <c r="A31" s="13">
        <v>43678</v>
      </c>
      <c r="B31" s="14">
        <v>1898.84</v>
      </c>
      <c r="C31" s="14">
        <v>1899</v>
      </c>
      <c r="D31" s="14">
        <v>3604.54</v>
      </c>
      <c r="E31" s="14">
        <v>2194.79</v>
      </c>
      <c r="F31" s="14">
        <v>3921.42</v>
      </c>
      <c r="G31" s="14">
        <v>2067.09</v>
      </c>
      <c r="H31" s="14">
        <v>1895.75</v>
      </c>
      <c r="I31" s="14">
        <v>1621.02</v>
      </c>
    </row>
    <row r="32" spans="1:10" x14ac:dyDescent="0.25">
      <c r="A32" s="11" t="s">
        <v>128</v>
      </c>
      <c r="B32" s="14">
        <v>886.63</v>
      </c>
      <c r="C32" s="14">
        <v>886.63</v>
      </c>
      <c r="D32" s="14">
        <v>886.63</v>
      </c>
      <c r="E32" s="14">
        <v>886.63</v>
      </c>
      <c r="F32" s="14">
        <v>886.63</v>
      </c>
      <c r="G32" s="14">
        <v>886.63</v>
      </c>
      <c r="H32" s="14">
        <v>886.63</v>
      </c>
      <c r="I32" s="14">
        <v>886.63</v>
      </c>
    </row>
    <row r="33" spans="1:10" x14ac:dyDescent="0.25">
      <c r="A33" s="15" t="s">
        <v>127</v>
      </c>
      <c r="B33" s="16">
        <f t="shared" ref="B33:I33" si="2">+B23+B24+B25+B26+B27+B28+B29+B30+B31+B32</f>
        <v>16263.62</v>
      </c>
      <c r="C33" s="16">
        <f t="shared" si="2"/>
        <v>18135.45</v>
      </c>
      <c r="D33" s="16">
        <f t="shared" si="2"/>
        <v>32485.070000000003</v>
      </c>
      <c r="E33" s="16">
        <f t="shared" si="2"/>
        <v>19296.7</v>
      </c>
      <c r="F33" s="16">
        <f t="shared" si="2"/>
        <v>37311.949999999997</v>
      </c>
      <c r="G33" s="16">
        <f t="shared" si="2"/>
        <v>20420.489999999998</v>
      </c>
      <c r="H33" s="16">
        <f t="shared" si="2"/>
        <v>17120.030000000002</v>
      </c>
      <c r="I33" s="16">
        <f t="shared" si="2"/>
        <v>14434.569999999998</v>
      </c>
      <c r="J33" s="14">
        <f>+B33+C33+D33+E33+F33+G33+H33+I33</f>
        <v>175467.88</v>
      </c>
    </row>
    <row r="34" spans="1:10" x14ac:dyDescent="0.25">
      <c r="A34" s="11" t="s">
        <v>126</v>
      </c>
      <c r="B34" s="14">
        <f>+(B23+B24+B25+B26+B27+B28+B29+B30+B31)/9</f>
        <v>1708.5544444444447</v>
      </c>
      <c r="C34" s="14">
        <f t="shared" ref="C34:I34" si="3">+(C23+C24+C25+C26+C27+C28+C29+C30+C31)/9</f>
        <v>1916.5355555555554</v>
      </c>
      <c r="D34" s="14">
        <f t="shared" si="3"/>
        <v>3510.9377777777781</v>
      </c>
      <c r="E34" s="14">
        <f t="shared" si="3"/>
        <v>2045.5633333333333</v>
      </c>
      <c r="F34" s="14">
        <f t="shared" si="3"/>
        <v>4047.2577777777778</v>
      </c>
      <c r="G34" s="14">
        <f t="shared" si="3"/>
        <v>2170.4288888888887</v>
      </c>
      <c r="H34" s="14">
        <f t="shared" si="3"/>
        <v>1803.7111111111112</v>
      </c>
      <c r="I34" s="14">
        <f t="shared" si="3"/>
        <v>1505.3266666666666</v>
      </c>
    </row>
    <row r="35" spans="1:10" x14ac:dyDescent="0.25">
      <c r="B35" s="3"/>
      <c r="C35" s="3"/>
      <c r="D35" s="3"/>
      <c r="E35" s="3"/>
      <c r="F35" s="3"/>
      <c r="G35" s="3"/>
      <c r="H35" s="3"/>
      <c r="I35" s="3"/>
    </row>
    <row r="36" spans="1:10" x14ac:dyDescent="0.25">
      <c r="A36" s="15" t="s">
        <v>116</v>
      </c>
      <c r="B36" s="16">
        <f>+(B19+B34)/2</f>
        <v>1745.8055555555559</v>
      </c>
      <c r="C36" s="16">
        <f t="shared" ref="C36:I36" si="4">+(C19+C34)/2</f>
        <v>1839.7840277777777</v>
      </c>
      <c r="D36" s="16">
        <f t="shared" si="4"/>
        <v>3474.403888888889</v>
      </c>
      <c r="E36" s="16">
        <f t="shared" si="4"/>
        <v>1982.8775000000001</v>
      </c>
      <c r="F36" s="16">
        <f t="shared" si="4"/>
        <v>3846.0901388888888</v>
      </c>
      <c r="G36" s="16">
        <f t="shared" si="4"/>
        <v>1912.9415277777775</v>
      </c>
      <c r="H36" s="16">
        <f t="shared" si="4"/>
        <v>1792.4130555555555</v>
      </c>
      <c r="I36" s="16">
        <f t="shared" si="4"/>
        <v>1510.0925</v>
      </c>
    </row>
    <row r="39" spans="1:10" x14ac:dyDescent="0.25">
      <c r="A3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plače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Nardin</dc:creator>
  <cp:lastModifiedBy>Beti Čufer</cp:lastModifiedBy>
  <dcterms:created xsi:type="dcterms:W3CDTF">2019-09-16T09:09:06Z</dcterms:created>
  <dcterms:modified xsi:type="dcterms:W3CDTF">2020-02-15T09:01:07Z</dcterms:modified>
</cp:coreProperties>
</file>